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780" tabRatio="854" activeTab="3"/>
  </bookViews>
  <sheets>
    <sheet name="Brugervejledning" sheetId="1" r:id="rId1"/>
    <sheet name="Funktionsbeskrivelse" sheetId="2" r:id="rId2"/>
    <sheet name="Beregningsforudsætninger" sheetId="3" r:id="rId3"/>
    <sheet name="Forudberegning122" sheetId="4" r:id="rId4"/>
    <sheet name="Efterberegning " sheetId="5" r:id="rId5"/>
    <sheet name="Forudberegning 102" sheetId="6" r:id="rId6"/>
  </sheets>
  <definedNames>
    <definedName name="afkøling" localSheetId="5">#REF!</definedName>
    <definedName name="afkøling">#REF!</definedName>
    <definedName name="Flow" localSheetId="5">#REF!</definedName>
    <definedName name="Flow">#REF!</definedName>
    <definedName name="flowkrav" localSheetId="5">#REF!</definedName>
    <definedName name="flowkrav">#REF!</definedName>
    <definedName name="KVkorr" localSheetId="5">#REF!</definedName>
    <definedName name="KVkorr">#REF!</definedName>
    <definedName name="KVrør" localSheetId="5">#REF!</definedName>
    <definedName name="KVrør">#REF!</definedName>
    <definedName name="maksrørtab" localSheetId="5">#REF!</definedName>
    <definedName name="maksrørtab">#REF!</definedName>
    <definedName name="maxflow" localSheetId="5">#REF!</definedName>
    <definedName name="maxflow">#REF!</definedName>
    <definedName name="minitrimtab" localSheetId="5">#REF!</definedName>
    <definedName name="minitrimtab">#REF!</definedName>
    <definedName name="Mintrimtab" localSheetId="5">#REF!</definedName>
    <definedName name="Mintrimtab">#REF!</definedName>
    <definedName name="pumpekrav" localSheetId="5">#REF!</definedName>
    <definedName name="pumpekrav">#REF!</definedName>
    <definedName name="Pumpetryk" localSheetId="5">#REF!</definedName>
    <definedName name="Pumpetryk">#REF!</definedName>
    <definedName name="Rørtab" localSheetId="5">#REF!</definedName>
    <definedName name="Rørtab">#REF!</definedName>
    <definedName name="_xlnm.Print_Area" localSheetId="2">'Beregningsforudsætninger'!$A$1:$N$52</definedName>
    <definedName name="_xlnm.Print_Area" localSheetId="0">'Brugervejledning'!$A$1:$N$72</definedName>
    <definedName name="_xlnm.Print_Area" localSheetId="4">'Efterberegning '!$A$1:$N$52</definedName>
    <definedName name="_xlnm.Print_Area" localSheetId="5">'Forudberegning 102'!$A$1:$N$52</definedName>
    <definedName name="_xlnm.Print_Area" localSheetId="3">'Forudberegning122'!$A$1:$N$52</definedName>
    <definedName name="_xlnm.Print_Area" localSheetId="1">'Funktionsbeskrivelse'!$A$1:$N$52</definedName>
  </definedNames>
  <calcPr fullCalcOnLoad="1"/>
</workbook>
</file>

<file path=xl/comments1.xml><?xml version="1.0" encoding="utf-8"?>
<comments xmlns="http://schemas.openxmlformats.org/spreadsheetml/2006/main">
  <authors>
    <author>F11103</author>
  </authors>
  <commentList>
    <comment ref="A1" authorId="0">
      <text>
        <r>
          <rPr>
            <b/>
            <sz val="8"/>
            <color indexed="10"/>
            <rFont val="Tahoma"/>
            <family val="2"/>
          </rPr>
          <t>F11103:I I version 3 er: 
Tekst på "Brugervejledning" ændret fra CFD til FHD (uden flowmåler).
Tekst i "beregningsforudsætninger"  ændret til: TRIM= trimventilens forindstillingstal.
Regneark tilrettet m.h.t. forindstillingsværdier i den nye manifold FHD uden flowmåler.
OSC 02.02.2005</t>
        </r>
      </text>
    </comment>
  </commentList>
</comments>
</file>

<file path=xl/comments2.xml><?xml version="1.0" encoding="utf-8"?>
<comments xmlns="http://schemas.openxmlformats.org/spreadsheetml/2006/main">
  <authors>
    <author>DKSC</author>
  </authors>
  <commentList>
    <comment ref="Q19" authorId="0">
      <text>
        <r>
          <rPr>
            <b/>
            <sz val="10"/>
            <rFont val="Tahoma"/>
            <family val="0"/>
          </rPr>
          <t>DKSC:</t>
        </r>
        <r>
          <rPr>
            <sz val="10"/>
            <rFont val="Tahoma"/>
            <family val="0"/>
          </rPr>
          <t xml:space="preserve">
Sammenhørende værdier for trimventil.
indstilling / Kv-værdi</t>
        </r>
      </text>
    </comment>
    <comment ref="S19" authorId="0">
      <text>
        <r>
          <rPr>
            <b/>
            <sz val="10"/>
            <rFont val="Tahoma"/>
            <family val="0"/>
          </rPr>
          <t>DKSC:</t>
        </r>
        <r>
          <rPr>
            <sz val="10"/>
            <rFont val="Tahoma"/>
            <family val="0"/>
          </rPr>
          <t xml:space="preserve">
Kv- værdi / m for 20mm pex (Wavin)</t>
        </r>
      </text>
    </comment>
    <comment ref="V19" authorId="0">
      <text>
        <r>
          <rPr>
            <b/>
            <sz val="10"/>
            <rFont val="Tahoma"/>
            <family val="0"/>
          </rPr>
          <t>DKSC:</t>
        </r>
        <r>
          <rPr>
            <sz val="10"/>
            <rFont val="Tahoma"/>
            <family val="0"/>
          </rPr>
          <t xml:space="preserve">
KV-værdi svarende til slangens flow.</t>
        </r>
      </text>
    </comment>
    <comment ref="X20" authorId="0">
      <text>
        <r>
          <rPr>
            <b/>
            <sz val="10"/>
            <rFont val="Tahoma"/>
            <family val="0"/>
          </rPr>
          <t>DKSC:</t>
        </r>
        <r>
          <rPr>
            <sz val="10"/>
            <rFont val="Tahoma"/>
            <family val="0"/>
          </rPr>
          <t xml:space="preserve">
listeværdier til rørtype</t>
        </r>
      </text>
    </comment>
    <comment ref="D12" authorId="0">
      <text>
        <r>
          <rPr>
            <sz val="12"/>
            <rFont val="Arial"/>
            <family val="2"/>
          </rPr>
          <t>Rummets varmetab i W/m</t>
        </r>
        <r>
          <rPr>
            <vertAlign val="superscript"/>
            <sz val="12"/>
            <rFont val="Arial"/>
            <family val="2"/>
          </rPr>
          <t xml:space="preserve">2 </t>
        </r>
        <r>
          <rPr>
            <sz val="12"/>
            <rFont val="Arial"/>
            <family val="2"/>
          </rPr>
          <t xml:space="preserve"> ( eller det tilskud som gulv-varmen skal give, hvis den ikke er eneste varmekilde).
</t>
        </r>
        <r>
          <rPr>
            <b/>
            <sz val="12"/>
            <rFont val="Arial"/>
            <family val="2"/>
          </rPr>
          <t xml:space="preserve">Klik på feltet og vælg mellem de listede værdier!
</t>
        </r>
        <r>
          <rPr>
            <sz val="12"/>
            <rFont val="Arial"/>
            <family val="2"/>
          </rPr>
          <t>Værdien bruges som default-værdi i kolonnen "</t>
        </r>
        <r>
          <rPr>
            <b/>
            <sz val="12"/>
            <rFont val="Arial"/>
            <family val="2"/>
          </rPr>
          <t>Behov</t>
        </r>
        <r>
          <rPr>
            <sz val="12"/>
            <rFont val="Arial"/>
            <family val="2"/>
          </rPr>
          <t xml:space="preserve">" men kan ændres manuelt inden for de givne grænser. </t>
        </r>
      </text>
    </comment>
    <comment ref="D13" authorId="0">
      <text>
        <r>
          <rPr>
            <sz val="12"/>
            <rFont val="Arial"/>
            <family val="2"/>
          </rPr>
          <t xml:space="preserve">Afkøling over gulvvarmeslangen.
</t>
        </r>
        <r>
          <rPr>
            <b/>
            <sz val="12"/>
            <rFont val="Arial"/>
            <family val="2"/>
          </rPr>
          <t>Klik på feltet og vælg mellem de listede værdier</t>
        </r>
        <r>
          <rPr>
            <sz val="12"/>
            <rFont val="Arial"/>
            <family val="2"/>
          </rPr>
          <t>.
Værdien bruges ved beregning af værdien "</t>
        </r>
        <r>
          <rPr>
            <b/>
            <sz val="12"/>
            <rFont val="Arial"/>
            <family val="2"/>
          </rPr>
          <t>Flow</t>
        </r>
        <r>
          <rPr>
            <sz val="12"/>
            <rFont val="Arial"/>
            <family val="2"/>
          </rPr>
          <t>"</t>
        </r>
      </text>
    </comment>
    <comment ref="A11" authorId="0">
      <text>
        <r>
          <rPr>
            <sz val="12"/>
            <rFont val="Arial"/>
            <family val="2"/>
          </rPr>
          <t xml:space="preserve">NULSTIL  ARK
</t>
        </r>
        <r>
          <rPr>
            <b/>
            <sz val="12"/>
            <rFont val="Arial"/>
            <family val="2"/>
          </rPr>
          <t>Klik på knappen for at rydde ark.</t>
        </r>
        <r>
          <rPr>
            <sz val="10"/>
            <rFont val="Tahoma"/>
            <family val="0"/>
          </rPr>
          <t xml:space="preserve">
</t>
        </r>
      </text>
    </comment>
    <comment ref="F13" authorId="0">
      <text>
        <r>
          <rPr>
            <sz val="12"/>
            <rFont val="Arial"/>
            <family val="2"/>
          </rPr>
          <t xml:space="preserve">Rørtype.
</t>
        </r>
        <r>
          <rPr>
            <b/>
            <sz val="12"/>
            <rFont val="Arial"/>
            <family val="2"/>
          </rPr>
          <t>Klikpå feltet og vælg mellem de listede værdier.</t>
        </r>
        <r>
          <rPr>
            <sz val="10"/>
            <rFont val="Tahoma"/>
            <family val="0"/>
          </rPr>
          <t xml:space="preserve">
</t>
        </r>
      </text>
    </comment>
    <comment ref="H13" authorId="0">
      <text>
        <r>
          <rPr>
            <sz val="12"/>
            <rFont val="Arial"/>
            <family val="2"/>
          </rPr>
          <t xml:space="preserve">Gulvslangens dimension
</t>
        </r>
        <r>
          <rPr>
            <b/>
            <sz val="12"/>
            <rFont val="Arial"/>
            <family val="2"/>
          </rPr>
          <t>Dimensionen fremkommer au-tomatisk ved valg af rørtype.</t>
        </r>
        <r>
          <rPr>
            <sz val="10"/>
            <rFont val="Tahoma"/>
            <family val="0"/>
          </rPr>
          <t xml:space="preserve">
</t>
        </r>
      </text>
    </comment>
    <comment ref="H21" authorId="0">
      <text>
        <r>
          <rPr>
            <sz val="12"/>
            <rFont val="Arial"/>
            <family val="2"/>
          </rPr>
          <t>Ved</t>
        </r>
        <r>
          <rPr>
            <b/>
            <sz val="12"/>
            <rFont val="Arial"/>
            <family val="2"/>
          </rPr>
          <t xml:space="preserve"> "Forudberegning"</t>
        </r>
        <r>
          <rPr>
            <sz val="12"/>
            <rFont val="Arial"/>
            <family val="2"/>
          </rPr>
          <t xml:space="preserve">
Her </t>
        </r>
        <r>
          <rPr>
            <b/>
            <sz val="12"/>
            <rFont val="Arial"/>
            <family val="2"/>
          </rPr>
          <t>indtastes</t>
        </r>
        <r>
          <rPr>
            <sz val="12"/>
            <rFont val="Arial"/>
            <family val="2"/>
          </rPr>
          <t xml:space="preserve"> den samlede længde af slangens tilledning (fremløb +retur) fra fordeler til rum.</t>
        </r>
      </text>
    </comment>
    <comment ref="F21" authorId="0">
      <text>
        <r>
          <rPr>
            <b/>
            <sz val="12"/>
            <rFont val="Arial"/>
            <family val="2"/>
          </rPr>
          <t>Her kan du evt.</t>
        </r>
        <r>
          <rPr>
            <sz val="12"/>
            <rFont val="Arial"/>
            <family val="2"/>
          </rPr>
          <t xml:space="preserve"> ændre den ovenfor angivne rørafstand C-C hvis enkelte slanger ligger med en anden afstand.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12"/>
            <rFont val="Arial"/>
            <family val="2"/>
          </rPr>
          <t>Her kan du evt.</t>
        </r>
        <r>
          <rPr>
            <sz val="12"/>
            <rFont val="Arial"/>
            <family val="2"/>
          </rPr>
          <t xml:space="preserve"> ændre det ovenfor angivne varmetab hvis enkelte slanger har et andet behov.</t>
        </r>
        <r>
          <rPr>
            <sz val="10"/>
            <rFont val="Tahoma"/>
            <family val="0"/>
          </rPr>
          <t xml:space="preserve">
</t>
        </r>
      </text>
    </comment>
    <comment ref="B21" authorId="0">
      <text>
        <r>
          <rPr>
            <sz val="12"/>
            <rFont val="Arial"/>
            <family val="2"/>
          </rPr>
          <t xml:space="preserve">Her </t>
        </r>
        <r>
          <rPr>
            <b/>
            <sz val="12"/>
            <rFont val="Arial"/>
            <family val="2"/>
          </rPr>
          <t>indtastes</t>
        </r>
        <r>
          <rPr>
            <sz val="12"/>
            <rFont val="Arial"/>
            <family val="2"/>
          </rPr>
          <t xml:space="preserve"> rum-mets areal i m</t>
        </r>
        <r>
          <rPr>
            <vertAlign val="superscript"/>
            <sz val="12"/>
            <rFont val="Arial"/>
            <family val="2"/>
          </rPr>
          <t>2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2"/>
            <rFont val="Arial"/>
            <family val="2"/>
          </rPr>
          <t xml:space="preserve">Her </t>
        </r>
        <r>
          <rPr>
            <b/>
            <sz val="12"/>
            <rFont val="Arial"/>
            <family val="2"/>
          </rPr>
          <t>indtastes</t>
        </r>
        <r>
          <rPr>
            <sz val="12"/>
            <rFont val="Arial"/>
            <family val="2"/>
          </rPr>
          <t xml:space="preserve"> rum-betegnelser.
Start evt. i øverste felt med "Fordeler nr."</t>
        </r>
      </text>
    </comment>
    <comment ref="D14" authorId="0">
      <text>
        <r>
          <rPr>
            <sz val="12"/>
            <rFont val="Arial"/>
            <family val="2"/>
          </rPr>
          <t xml:space="preserve">Gulvslangernes lægningsafstand.
</t>
        </r>
        <r>
          <rPr>
            <b/>
            <sz val="12"/>
            <rFont val="Arial"/>
            <family val="2"/>
          </rPr>
          <t>Klik på feltet og vælg mellem de listede værdier.</t>
        </r>
        <r>
          <rPr>
            <sz val="12"/>
            <rFont val="Arial"/>
            <family val="2"/>
          </rPr>
          <t xml:space="preserve">
Værdien bruges ved beregning af værdien </t>
        </r>
        <r>
          <rPr>
            <b/>
            <sz val="12"/>
            <rFont val="Arial"/>
            <family val="2"/>
          </rPr>
          <t>"Slange".</t>
        </r>
        <r>
          <rPr>
            <sz val="10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Arial"/>
            <family val="2"/>
          </rPr>
          <t xml:space="preserve">Ved </t>
        </r>
        <r>
          <rPr>
            <b/>
            <sz val="12"/>
            <rFont val="Arial"/>
            <family val="2"/>
          </rPr>
          <t>"Efterberegning"</t>
        </r>
        <r>
          <rPr>
            <sz val="12"/>
            <rFont val="Arial"/>
            <family val="2"/>
          </rPr>
          <t xml:space="preserve"> 
Her </t>
        </r>
        <r>
          <rPr>
            <b/>
            <sz val="12"/>
            <rFont val="Arial"/>
            <family val="2"/>
          </rPr>
          <t>indtastes</t>
        </r>
        <r>
          <rPr>
            <sz val="12"/>
            <rFont val="Arial"/>
            <family val="2"/>
          </rPr>
          <t xml:space="preserve"> den samlede rørlængde som er udlagt i kredsen.</t>
        </r>
      </text>
    </comment>
  </commentList>
</comments>
</file>

<file path=xl/comments3.xml><?xml version="1.0" encoding="utf-8"?>
<comments xmlns="http://schemas.openxmlformats.org/spreadsheetml/2006/main">
  <authors>
    <author>DKSC</author>
  </authors>
  <commentList>
    <comment ref="M12" authorId="0">
      <text>
        <r>
          <rPr>
            <b/>
            <sz val="12"/>
            <rFont val="Arial"/>
            <family val="2"/>
          </rPr>
          <t>Total Rørlængde</t>
        </r>
        <r>
          <rPr>
            <sz val="12"/>
            <rFont val="Arial"/>
            <family val="2"/>
          </rPr>
          <t>er den samlede rør-længde for de tilsluttede slanger  = summen af kolonne "</t>
        </r>
        <r>
          <rPr>
            <b/>
            <sz val="12"/>
            <rFont val="Arial"/>
            <family val="2"/>
          </rPr>
          <t>Rørlængde</t>
        </r>
        <r>
          <rPr>
            <sz val="12"/>
            <rFont val="Arial"/>
            <family val="2"/>
          </rPr>
          <t>"</t>
        </r>
        <r>
          <rPr>
            <b/>
            <sz val="12"/>
            <rFont val="Arial"/>
            <family val="2"/>
          </rPr>
          <t>.</t>
        </r>
      </text>
    </comment>
    <comment ref="M13" authorId="0">
      <text>
        <r>
          <rPr>
            <b/>
            <sz val="12"/>
            <rFont val="Arial"/>
            <family val="2"/>
          </rPr>
          <t>Nødvendigt tryk</t>
        </r>
        <r>
          <rPr>
            <sz val="12"/>
            <rFont val="Arial"/>
            <family val="2"/>
          </rPr>
          <t xml:space="preserve"> er manifoldens trykkrav  = </t>
        </r>
        <r>
          <rPr>
            <b/>
            <sz val="12"/>
            <rFont val="Arial"/>
            <family val="2"/>
          </rPr>
          <t xml:space="preserve">Rørtab + Trimtab </t>
        </r>
        <r>
          <rPr>
            <sz val="12"/>
            <rFont val="Arial"/>
            <family val="2"/>
          </rPr>
          <t xml:space="preserve">for den mest tryk-krævende slange. </t>
        </r>
      </text>
    </comment>
    <comment ref="M14" authorId="0">
      <text>
        <r>
          <rPr>
            <b/>
            <sz val="12"/>
            <rFont val="Arial"/>
            <family val="2"/>
          </rPr>
          <t>Nødvendigt flow</t>
        </r>
        <r>
          <rPr>
            <sz val="12"/>
            <rFont val="Arial"/>
            <family val="2"/>
          </rPr>
          <t xml:space="preserve"> er manifoldens
samlede flowkrav  = summen af kolonne "</t>
        </r>
        <r>
          <rPr>
            <b/>
            <sz val="12"/>
            <rFont val="Arial"/>
            <family val="2"/>
          </rPr>
          <t>Flow</t>
        </r>
        <r>
          <rPr>
            <sz val="12"/>
            <rFont val="Arial"/>
            <family val="2"/>
          </rPr>
          <t>".</t>
        </r>
      </text>
    </comment>
    <comment ref="D21" authorId="0">
      <text>
        <r>
          <rPr>
            <b/>
            <sz val="12"/>
            <rFont val="Arial"/>
            <family val="2"/>
          </rPr>
          <t>Effekt = Areal x Behov [W]</t>
        </r>
        <r>
          <rPr>
            <sz val="10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12"/>
            <rFont val="Arial"/>
            <family val="2"/>
          </rPr>
          <t xml:space="preserve">Flow = Effekt x 0,86 / Afkøling [l /h]
</t>
        </r>
      </text>
    </comment>
    <comment ref="M21" authorId="0">
      <text>
        <r>
          <rPr>
            <b/>
            <sz val="12"/>
            <rFont val="Arial"/>
            <family val="2"/>
          </rPr>
          <t>Kv-trim = Flow x 10</t>
        </r>
        <r>
          <rPr>
            <b/>
            <vertAlign val="superscript"/>
            <sz val="12"/>
            <rFont val="Arial"/>
            <family val="2"/>
          </rPr>
          <t>-3</t>
        </r>
        <r>
          <rPr>
            <b/>
            <sz val="12"/>
            <rFont val="Arial"/>
            <family val="2"/>
          </rPr>
          <t xml:space="preserve"> / (Trimtab /10)</t>
        </r>
        <r>
          <rPr>
            <b/>
            <vertAlign val="superscript"/>
            <sz val="12"/>
            <rFont val="Arial"/>
            <family val="2"/>
          </rPr>
          <t xml:space="preserve">1/2  </t>
        </r>
        <r>
          <rPr>
            <b/>
            <sz val="12"/>
            <rFont val="Arial"/>
            <family val="2"/>
          </rPr>
          <t>[m</t>
        </r>
        <r>
          <rPr>
            <b/>
            <vertAlign val="superscript"/>
            <sz val="12"/>
            <rFont val="Arial"/>
            <family val="2"/>
          </rPr>
          <t>3</t>
        </r>
        <r>
          <rPr>
            <b/>
            <sz val="12"/>
            <rFont val="Arial"/>
            <family val="2"/>
          </rPr>
          <t xml:space="preserve"> / h]</t>
        </r>
      </text>
    </comment>
    <comment ref="L21" authorId="0">
      <text>
        <r>
          <rPr>
            <b/>
            <sz val="12"/>
            <rFont val="Arial"/>
            <family val="2"/>
          </rPr>
          <t xml:space="preserve">Trimtab = (( Maks. Rørtab + min. Trimtab) - Rørtab)  [mvs]
</t>
        </r>
      </text>
    </comment>
    <comment ref="K21" authorId="0">
      <text>
        <r>
          <rPr>
            <b/>
            <sz val="12"/>
            <rFont val="Arial"/>
            <family val="2"/>
          </rPr>
          <t>Rørtab = (Flow [m</t>
        </r>
        <r>
          <rPr>
            <b/>
            <vertAlign val="superscript"/>
            <sz val="12"/>
            <rFont val="Arial"/>
            <family val="2"/>
          </rPr>
          <t xml:space="preserve">3 </t>
        </r>
        <r>
          <rPr>
            <b/>
            <sz val="12"/>
            <rFont val="Arial"/>
            <family val="2"/>
          </rPr>
          <t>/ h] / Kv</t>
        </r>
        <r>
          <rPr>
            <b/>
            <vertAlign val="subscript"/>
            <sz val="12"/>
            <rFont val="Arial"/>
            <family val="2"/>
          </rPr>
          <t xml:space="preserve">rør </t>
        </r>
        <r>
          <rPr>
            <b/>
            <sz val="12"/>
            <rFont val="Arial"/>
            <family val="2"/>
          </rPr>
          <t>[m</t>
        </r>
        <r>
          <rPr>
            <b/>
            <vertAlign val="superscript"/>
            <sz val="12"/>
            <rFont val="Arial"/>
            <family val="2"/>
          </rPr>
          <t>3</t>
        </r>
        <r>
          <rPr>
            <b/>
            <sz val="12"/>
            <rFont val="Arial"/>
            <family val="2"/>
          </rPr>
          <t xml:space="preserve"> / h])</t>
        </r>
        <r>
          <rPr>
            <b/>
            <vertAlign val="superscript"/>
            <sz val="12"/>
            <rFont val="Arial"/>
            <family val="2"/>
          </rPr>
          <t>2</t>
        </r>
        <r>
          <rPr>
            <b/>
            <sz val="12"/>
            <rFont val="Arial"/>
            <family val="2"/>
          </rPr>
          <t xml:space="preserve"> x 10 [mvs]</t>
        </r>
        <r>
          <rPr>
            <sz val="10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12"/>
            <rFont val="Arial"/>
            <family val="2"/>
          </rPr>
          <t xml:space="preserve">Test </t>
        </r>
        <r>
          <rPr>
            <sz val="12"/>
            <rFont val="Arial"/>
            <family val="2"/>
          </rPr>
          <t>skriver "</t>
        </r>
        <r>
          <rPr>
            <sz val="12"/>
            <color indexed="10"/>
            <rFont val="Arial"/>
            <family val="2"/>
          </rPr>
          <t>Fejl!</t>
        </r>
        <r>
          <rPr>
            <sz val="12"/>
            <rFont val="Arial"/>
            <family val="2"/>
          </rPr>
          <t xml:space="preserve">" hvis rør-
længde overstiger 120 m. 
</t>
        </r>
        <r>
          <rPr>
            <b/>
            <sz val="12"/>
            <rFont val="Arial"/>
            <family val="2"/>
          </rPr>
          <t>Fordel areal på flere slanger !</t>
        </r>
      </text>
    </comment>
    <comment ref="I21" authorId="0">
      <text>
        <r>
          <rPr>
            <b/>
            <sz val="12"/>
            <rFont val="Arial"/>
            <family val="2"/>
          </rPr>
          <t>Rørlængd. = Slange + Tilledn. [m]</t>
        </r>
      </text>
    </comment>
    <comment ref="G21" authorId="0">
      <text>
        <r>
          <rPr>
            <b/>
            <sz val="12"/>
            <rFont val="Arial"/>
            <family val="2"/>
          </rPr>
          <t xml:space="preserve">Slange = Areal x 3,3 [m]; </t>
        </r>
        <r>
          <rPr>
            <sz val="12"/>
            <rFont val="Arial"/>
            <family val="2"/>
          </rPr>
          <t>når C-C = 0,30</t>
        </r>
        <r>
          <rPr>
            <b/>
            <sz val="12"/>
            <rFont val="Arial"/>
            <family val="2"/>
          </rPr>
          <t xml:space="preserve"> 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rFont val="Arial"/>
            <family val="2"/>
          </rPr>
          <t xml:space="preserve">Slange = Areal x 4 [m]; </t>
        </r>
        <r>
          <rPr>
            <sz val="12"/>
            <rFont val="Arial"/>
            <family val="2"/>
          </rPr>
          <t>når C-C = 0,25</t>
        </r>
        <r>
          <rPr>
            <b/>
            <sz val="12"/>
            <rFont val="Arial"/>
            <family val="2"/>
          </rPr>
          <t xml:space="preserve"> </t>
        </r>
      </text>
    </comment>
    <comment ref="N21" authorId="0">
      <text>
        <r>
          <rPr>
            <b/>
            <sz val="12"/>
            <rFont val="Arial"/>
            <family val="2"/>
          </rPr>
          <t>Trim = trimventilens forindstillingstal</t>
        </r>
      </text>
    </comment>
  </commentList>
</comments>
</file>

<file path=xl/comments4.xml><?xml version="1.0" encoding="utf-8"?>
<comments xmlns="http://schemas.openxmlformats.org/spreadsheetml/2006/main">
  <authors>
    <author>DKSC</author>
  </authors>
  <commentList>
    <comment ref="AB16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Maks-værdien i nedenstående kolonne</t>
        </r>
      </text>
    </comment>
    <comment ref="Z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trimtabet i trimventilen når trimventil er helt åben.</t>
        </r>
      </text>
    </comment>
    <comment ref="AB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det samlede tryktab i en kreds når trimventilen er helt åben. Bruges til at finde den slange hvis trimventil skal være helt åben.</t>
        </r>
      </text>
    </comment>
  </commentList>
</comments>
</file>

<file path=xl/comments5.xml><?xml version="1.0" encoding="utf-8"?>
<comments xmlns="http://schemas.openxmlformats.org/spreadsheetml/2006/main">
  <authors>
    <author>DKSC</author>
  </authors>
  <commentList>
    <comment ref="Z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trimtabet i trimventilen når trimventil er helt åben.</t>
        </r>
      </text>
    </comment>
    <comment ref="AB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det samlede tryktab i en kreds når trimventilen er helt åben. Bruges til at finde den slange hvis trimventil skal være helt åben.</t>
        </r>
      </text>
    </comment>
    <comment ref="AB16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Maks-værdien i nedenstående kolonne</t>
        </r>
      </text>
    </comment>
  </commentList>
</comments>
</file>

<file path=xl/comments6.xml><?xml version="1.0" encoding="utf-8"?>
<comments xmlns="http://schemas.openxmlformats.org/spreadsheetml/2006/main">
  <authors>
    <author>DKSC</author>
  </authors>
  <commentList>
    <comment ref="AB16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Maks-værdien i nedenstående kolonne</t>
        </r>
      </text>
    </comment>
    <comment ref="Z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trimtabet i trimventilen når trimventil er helt åben.</t>
        </r>
      </text>
    </comment>
    <comment ref="AB19" authorId="0">
      <text>
        <r>
          <rPr>
            <b/>
            <sz val="8"/>
            <rFont val="Tahoma"/>
            <family val="0"/>
          </rPr>
          <t>DKSC:</t>
        </r>
        <r>
          <rPr>
            <sz val="8"/>
            <rFont val="Tahoma"/>
            <family val="0"/>
          </rPr>
          <t xml:space="preserve">
En foreløbig beregning som giver det samlede tryktab i en kreds når trimventilen er helt åben. Bruges til at finde den slange hvis trimventil skal være helt åben.</t>
        </r>
      </text>
    </comment>
  </commentList>
</comments>
</file>

<file path=xl/sharedStrings.xml><?xml version="1.0" encoding="utf-8"?>
<sst xmlns="http://schemas.openxmlformats.org/spreadsheetml/2006/main" count="404" uniqueCount="79">
  <si>
    <t>Rum ID</t>
  </si>
  <si>
    <t>Areal</t>
  </si>
  <si>
    <t>Behov</t>
  </si>
  <si>
    <t>Effekt</t>
  </si>
  <si>
    <t>Flow</t>
  </si>
  <si>
    <t>C-C</t>
  </si>
  <si>
    <t>Slange</t>
  </si>
  <si>
    <t>Tilledn.</t>
  </si>
  <si>
    <t>Rørlgd.</t>
  </si>
  <si>
    <t>Rørtab</t>
  </si>
  <si>
    <t>Trimtab</t>
  </si>
  <si>
    <t>Kv-trim</t>
  </si>
  <si>
    <r>
      <t>m</t>
    </r>
    <r>
      <rPr>
        <vertAlign val="superscript"/>
        <sz val="10"/>
        <rFont val="Arial"/>
        <family val="2"/>
      </rPr>
      <t>2</t>
    </r>
  </si>
  <si>
    <t>l/h</t>
  </si>
  <si>
    <t>m</t>
  </si>
  <si>
    <t>omg.</t>
  </si>
  <si>
    <t>Å</t>
  </si>
  <si>
    <t>Trim</t>
  </si>
  <si>
    <t>Varmetab</t>
  </si>
  <si>
    <t>Afkøling</t>
  </si>
  <si>
    <t>grad K</t>
  </si>
  <si>
    <t>OK !</t>
  </si>
  <si>
    <t>FEJL !</t>
  </si>
  <si>
    <t>Test</t>
  </si>
  <si>
    <t>Forinst.</t>
  </si>
  <si>
    <t>Kv-værdi</t>
  </si>
  <si>
    <t>m3/hm</t>
  </si>
  <si>
    <t>Kvrør</t>
  </si>
  <si>
    <t>Qrør</t>
  </si>
  <si>
    <t>Kvkorr</t>
  </si>
  <si>
    <t>Total rørlængde</t>
  </si>
  <si>
    <t>Resultat:</t>
  </si>
  <si>
    <t>Valgbare værdier:</t>
  </si>
  <si>
    <t>mm</t>
  </si>
  <si>
    <t>Rørtype</t>
  </si>
  <si>
    <t>Rørafstand  C-C</t>
  </si>
  <si>
    <t>m2</t>
  </si>
  <si>
    <t>m3/h</t>
  </si>
  <si>
    <t>dim</t>
  </si>
  <si>
    <t>Sagsnavn</t>
  </si>
  <si>
    <t>Rådgiver</t>
  </si>
  <si>
    <t>VVS-Inst.</t>
  </si>
  <si>
    <t>Udført af:</t>
  </si>
  <si>
    <t>Dato:</t>
  </si>
  <si>
    <t>PEX</t>
  </si>
  <si>
    <t>ALUPEX</t>
  </si>
  <si>
    <t>SUMMATION</t>
  </si>
  <si>
    <t>Side:</t>
  </si>
  <si>
    <t>W</t>
  </si>
  <si>
    <r>
      <t>W / m</t>
    </r>
    <r>
      <rPr>
        <vertAlign val="superscript"/>
        <sz val="10"/>
        <rFont val="Arial"/>
        <family val="2"/>
      </rPr>
      <t>2</t>
    </r>
  </si>
  <si>
    <t>Nødvendigt tryk</t>
  </si>
  <si>
    <t>Nødvendigt flow</t>
  </si>
  <si>
    <t>listeværdier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</si>
  <si>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/hm</t>
    </r>
  </si>
  <si>
    <t>l / h</t>
  </si>
  <si>
    <r>
      <t>W/m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</si>
  <si>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</si>
  <si>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mVS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</si>
  <si>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</si>
  <si>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Kvtrimmax</t>
  </si>
  <si>
    <t>rørtab+trimtab</t>
  </si>
  <si>
    <t>trimtab</t>
  </si>
  <si>
    <t>Wirsbo 20mm</t>
  </si>
  <si>
    <t>Alupex 16 mm</t>
  </si>
  <si>
    <t xml:space="preserve"> Forindstillingsberegning til Danfoss gulvvarmemanifold type CFD</t>
  </si>
  <si>
    <t>GulvArk</t>
  </si>
  <si>
    <t>v</t>
  </si>
  <si>
    <t>Version nr. 1</t>
  </si>
  <si>
    <t>N</t>
  </si>
  <si>
    <t xml:space="preserve"> Forindstillingsberegning til Danfoss gulvvarmemanifold type FHD uden flowmålere</t>
  </si>
  <si>
    <t>stue</t>
  </si>
  <si>
    <t>køkken</t>
  </si>
  <si>
    <t>værelse v. stue</t>
  </si>
  <si>
    <t>entre</t>
  </si>
  <si>
    <t>bad</t>
  </si>
  <si>
    <t>værelse</t>
  </si>
  <si>
    <t>bryggers</t>
  </si>
  <si>
    <t>122 kvm bolig</t>
  </si>
  <si>
    <t>102 kvm bolig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</si>
</sst>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00"/>
  </numFmts>
  <fonts count="5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0"/>
    </font>
    <font>
      <strike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44"/>
        <bgColor indexed="9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0" fontId="46" fillId="24" borderId="3" applyNumberForma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3" fontId="0" fillId="34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left"/>
    </xf>
    <xf numFmtId="2" fontId="0" fillId="34" borderId="18" xfId="0" applyNumberFormat="1" applyFill="1" applyBorder="1" applyAlignment="1">
      <alignment horizontal="center"/>
    </xf>
    <xf numFmtId="12" fontId="0" fillId="35" borderId="19" xfId="0" applyNumberFormat="1" applyFont="1" applyFill="1" applyBorder="1" applyAlignment="1">
      <alignment horizontal="left" indent="1"/>
    </xf>
    <xf numFmtId="12" fontId="0" fillId="0" borderId="16" xfId="0" applyNumberFormat="1" applyBorder="1" applyAlignment="1">
      <alignment horizontal="left" indent="1"/>
    </xf>
    <xf numFmtId="12" fontId="0" fillId="0" borderId="20" xfId="0" applyNumberFormat="1" applyBorder="1" applyAlignment="1">
      <alignment horizontal="left" indent="1"/>
    </xf>
    <xf numFmtId="2" fontId="0" fillId="0" borderId="20" xfId="0" applyNumberFormat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26" xfId="0" applyNumberFormat="1" applyFont="1" applyFill="1" applyBorder="1" applyAlignment="1">
      <alignment horizontal="center"/>
    </xf>
    <xf numFmtId="173" fontId="0" fillId="34" borderId="26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7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7" fillId="0" borderId="28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74" fontId="0" fillId="0" borderId="0" xfId="0" applyNumberFormat="1" applyBorder="1" applyAlignment="1" applyProtection="1">
      <alignment horizontal="center"/>
      <protection locked="0"/>
    </xf>
    <xf numFmtId="174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73" fontId="0" fillId="34" borderId="30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0" fillId="34" borderId="31" xfId="0" applyNumberFormat="1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0" fontId="4" fillId="34" borderId="31" xfId="0" applyNumberFormat="1" applyFont="1" applyFill="1" applyBorder="1" applyAlignment="1">
      <alignment horizontal="center"/>
    </xf>
    <xf numFmtId="173" fontId="0" fillId="34" borderId="33" xfId="0" applyNumberFormat="1" applyFill="1" applyBorder="1" applyAlignment="1">
      <alignment horizontal="center"/>
    </xf>
    <xf numFmtId="173" fontId="0" fillId="34" borderId="31" xfId="0" applyNumberForma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12" fontId="0" fillId="35" borderId="34" xfId="0" applyNumberFormat="1" applyFont="1" applyFill="1" applyBorder="1" applyAlignment="1">
      <alignment horizontal="left" indent="1"/>
    </xf>
    <xf numFmtId="0" fontId="4" fillId="34" borderId="20" xfId="0" applyNumberFormat="1" applyFont="1" applyFill="1" applyBorder="1" applyAlignment="1">
      <alignment horizontal="center"/>
    </xf>
    <xf numFmtId="173" fontId="0" fillId="34" borderId="35" xfId="0" applyNumberFormat="1" applyFill="1" applyBorder="1" applyAlignment="1">
      <alignment horizontal="center"/>
    </xf>
    <xf numFmtId="173" fontId="0" fillId="34" borderId="20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12" fontId="0" fillId="35" borderId="37" xfId="0" applyNumberFormat="1" applyFont="1" applyFill="1" applyBorder="1" applyAlignment="1">
      <alignment horizontal="left" indent="1"/>
    </xf>
    <xf numFmtId="0" fontId="4" fillId="33" borderId="14" xfId="0" applyNumberFormat="1" applyFont="1" applyFill="1" applyBorder="1" applyAlignment="1">
      <alignment horizontal="center"/>
    </xf>
    <xf numFmtId="1" fontId="0" fillId="34" borderId="31" xfId="0" applyNumberFormat="1" applyFill="1" applyBorder="1" applyAlignment="1" applyProtection="1">
      <alignment horizontal="center"/>
      <protection/>
    </xf>
    <xf numFmtId="173" fontId="0" fillId="34" borderId="38" xfId="0" applyNumberFormat="1" applyFill="1" applyBorder="1" applyAlignment="1">
      <alignment horizontal="center"/>
    </xf>
    <xf numFmtId="2" fontId="0" fillId="34" borderId="39" xfId="0" applyNumberFormat="1" applyFill="1" applyBorder="1" applyAlignment="1">
      <alignment horizontal="center"/>
    </xf>
    <xf numFmtId="12" fontId="0" fillId="35" borderId="28" xfId="0" applyNumberFormat="1" applyFont="1" applyFill="1" applyBorder="1" applyAlignment="1">
      <alignment horizontal="left" indent="1"/>
    </xf>
    <xf numFmtId="173" fontId="0" fillId="33" borderId="0" xfId="0" applyNumberFormat="1" applyFill="1" applyBorder="1" applyAlignment="1">
      <alignment horizontal="center"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23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 horizontal="center"/>
      <protection/>
    </xf>
    <xf numFmtId="172" fontId="0" fillId="0" borderId="16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1" fillId="33" borderId="10" xfId="0" applyNumberFormat="1" applyFont="1" applyFill="1" applyBorder="1" applyAlignment="1" applyProtection="1">
      <alignment horizontal="center"/>
      <protection/>
    </xf>
    <xf numFmtId="172" fontId="0" fillId="33" borderId="13" xfId="0" applyNumberFormat="1" applyFont="1" applyFill="1" applyBorder="1" applyAlignment="1" applyProtection="1">
      <alignment horizontal="center"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33" borderId="4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4" borderId="33" xfId="0" applyNumberFormat="1" applyFill="1" applyBorder="1" applyAlignment="1" applyProtection="1">
      <alignment horizontal="center"/>
      <protection/>
    </xf>
    <xf numFmtId="1" fontId="0" fillId="34" borderId="30" xfId="0" applyNumberFormat="1" applyFill="1" applyBorder="1" applyAlignment="1" applyProtection="1">
      <alignment horizontal="center"/>
      <protection/>
    </xf>
    <xf numFmtId="1" fontId="0" fillId="34" borderId="36" xfId="0" applyNumberFormat="1" applyFill="1" applyBorder="1" applyAlignment="1" applyProtection="1">
      <alignment horizontal="center"/>
      <protection/>
    </xf>
    <xf numFmtId="1" fontId="0" fillId="34" borderId="18" xfId="0" applyNumberFormat="1" applyFill="1" applyBorder="1" applyAlignment="1" applyProtection="1">
      <alignment horizontal="center"/>
      <protection/>
    </xf>
    <xf numFmtId="1" fontId="0" fillId="34" borderId="41" xfId="0" applyNumberFormat="1" applyFill="1" applyBorder="1" applyAlignment="1">
      <alignment horizontal="center"/>
    </xf>
    <xf numFmtId="1" fontId="0" fillId="34" borderId="42" xfId="0" applyNumberFormat="1" applyFill="1" applyBorder="1" applyAlignment="1">
      <alignment horizontal="center"/>
    </xf>
    <xf numFmtId="1" fontId="0" fillId="34" borderId="43" xfId="0" applyNumberFormat="1" applyFill="1" applyBorder="1" applyAlignment="1">
      <alignment horizontal="center"/>
    </xf>
    <xf numFmtId="172" fontId="0" fillId="0" borderId="41" xfId="0" applyNumberFormat="1" applyBorder="1" applyAlignment="1" applyProtection="1">
      <alignment horizontal="center"/>
      <protection locked="0"/>
    </xf>
    <xf numFmtId="172" fontId="0" fillId="0" borderId="42" xfId="0" applyNumberForma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12" fontId="0" fillId="0" borderId="0" xfId="0" applyNumberFormat="1" applyAlignment="1">
      <alignment horizontal="center"/>
    </xf>
    <xf numFmtId="12" fontId="0" fillId="0" borderId="16" xfId="0" applyNumberForma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/>
      <protection/>
    </xf>
    <xf numFmtId="172" fontId="0" fillId="0" borderId="41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172" fontId="0" fillId="0" borderId="42" xfId="0" applyNumberForma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left"/>
    </xf>
    <xf numFmtId="0" fontId="0" fillId="37" borderId="17" xfId="0" applyFill="1" applyBorder="1" applyAlignment="1" applyProtection="1">
      <alignment horizontal="left" vertical="top"/>
      <protection/>
    </xf>
    <xf numFmtId="0" fontId="0" fillId="37" borderId="0" xfId="0" applyFill="1" applyBorder="1" applyAlignment="1">
      <alignment horizontal="center" vertical="top"/>
    </xf>
    <xf numFmtId="0" fontId="0" fillId="37" borderId="0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/>
      <protection locked="0"/>
    </xf>
    <xf numFmtId="172" fontId="0" fillId="0" borderId="43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 applyProtection="1">
      <alignment horizontal="center"/>
      <protection/>
    </xf>
    <xf numFmtId="173" fontId="0" fillId="33" borderId="11" xfId="0" applyNumberForma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6" xfId="0" applyNumberFormat="1" applyBorder="1" applyAlignment="1">
      <alignment horizontal="left" indent="1"/>
    </xf>
    <xf numFmtId="173" fontId="0" fillId="0" borderId="20" xfId="0" applyNumberFormat="1" applyBorder="1" applyAlignment="1">
      <alignment horizontal="center"/>
    </xf>
    <xf numFmtId="173" fontId="0" fillId="0" borderId="20" xfId="0" applyNumberForma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33" borderId="40" xfId="0" applyFont="1" applyFill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172" fontId="0" fillId="0" borderId="16" xfId="0" applyNumberFormat="1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1" fontId="0" fillId="34" borderId="16" xfId="0" applyNumberFormat="1" applyFill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1" fontId="0" fillId="34" borderId="16" xfId="0" applyNumberFormat="1" applyFill="1" applyBorder="1" applyAlignment="1">
      <alignment horizontal="center"/>
    </xf>
    <xf numFmtId="0" fontId="0" fillId="38" borderId="16" xfId="0" applyFill="1" applyBorder="1" applyAlignment="1" applyProtection="1">
      <alignment horizontal="center"/>
      <protection/>
    </xf>
    <xf numFmtId="1" fontId="0" fillId="38" borderId="16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2" fontId="0" fillId="35" borderId="16" xfId="0" applyNumberFormat="1" applyFont="1" applyFill="1" applyBorder="1" applyAlignment="1">
      <alignment horizontal="left" indent="1"/>
    </xf>
    <xf numFmtId="0" fontId="0" fillId="0" borderId="31" xfId="0" applyFont="1" applyBorder="1" applyAlignment="1" applyProtection="1">
      <alignment horizontal="left"/>
      <protection/>
    </xf>
    <xf numFmtId="172" fontId="0" fillId="0" borderId="31" xfId="0" applyNumberFormat="1" applyBorder="1" applyAlignment="1" applyProtection="1">
      <alignment horizontal="center"/>
      <protection/>
    </xf>
    <xf numFmtId="0" fontId="0" fillId="38" borderId="31" xfId="0" applyFill="1" applyBorder="1" applyAlignment="1" applyProtection="1">
      <alignment horizontal="center"/>
      <protection/>
    </xf>
    <xf numFmtId="1" fontId="0" fillId="38" borderId="31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12" fontId="0" fillId="35" borderId="31" xfId="0" applyNumberFormat="1" applyFont="1" applyFill="1" applyBorder="1" applyAlignment="1">
      <alignment horizontal="left" indent="1"/>
    </xf>
    <xf numFmtId="1" fontId="0" fillId="34" borderId="20" xfId="0" applyNumberFormat="1" applyFill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1" fontId="0" fillId="34" borderId="20" xfId="0" applyNumberFormat="1" applyFill="1" applyBorder="1" applyAlignment="1">
      <alignment horizontal="center"/>
    </xf>
    <xf numFmtId="0" fontId="0" fillId="38" borderId="20" xfId="0" applyFill="1" applyBorder="1" applyAlignment="1" applyProtection="1">
      <alignment horizontal="center"/>
      <protection/>
    </xf>
    <xf numFmtId="1" fontId="0" fillId="38" borderId="20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12" fontId="0" fillId="35" borderId="20" xfId="0" applyNumberFormat="1" applyFont="1" applyFill="1" applyBorder="1" applyAlignment="1">
      <alignment horizontal="left" indent="1"/>
    </xf>
    <xf numFmtId="1" fontId="0" fillId="35" borderId="23" xfId="0" applyNumberForma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72" fontId="0" fillId="35" borderId="40" xfId="0" applyNumberFormat="1" applyFill="1" applyBorder="1" applyAlignment="1">
      <alignment horizontal="center"/>
    </xf>
    <xf numFmtId="1" fontId="0" fillId="35" borderId="40" xfId="0" applyNumberForma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35" borderId="40" xfId="0" applyNumberFormat="1" applyFill="1" applyBorder="1" applyAlignment="1">
      <alignment horizontal="center"/>
    </xf>
    <xf numFmtId="172" fontId="0" fillId="0" borderId="43" xfId="0" applyNumberForma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172" fontId="0" fillId="35" borderId="40" xfId="0" applyNumberForma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center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 applyProtection="1">
      <alignment horizontal="center"/>
      <protection/>
    </xf>
    <xf numFmtId="1" fontId="0" fillId="34" borderId="33" xfId="0" applyNumberFormat="1" applyFill="1" applyBorder="1" applyAlignment="1" applyProtection="1">
      <alignment horizontal="center"/>
      <protection hidden="1"/>
    </xf>
    <xf numFmtId="1" fontId="0" fillId="34" borderId="36" xfId="0" applyNumberFormat="1" applyFill="1" applyBorder="1" applyAlignment="1" applyProtection="1">
      <alignment horizontal="center"/>
      <protection hidden="1"/>
    </xf>
    <xf numFmtId="1" fontId="0" fillId="34" borderId="30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32" xfId="0" applyNumberFormat="1" applyFill="1" applyBorder="1" applyAlignment="1" applyProtection="1">
      <alignment horizontal="center"/>
      <protection hidden="1"/>
    </xf>
    <xf numFmtId="0" fontId="0" fillId="34" borderId="41" xfId="0" applyNumberFormat="1" applyFill="1" applyBorder="1" applyAlignment="1" applyProtection="1">
      <alignment horizontal="center"/>
      <protection hidden="1"/>
    </xf>
    <xf numFmtId="0" fontId="0" fillId="34" borderId="31" xfId="0" applyNumberFormat="1" applyFill="1" applyBorder="1" applyAlignment="1" applyProtection="1">
      <alignment horizontal="center"/>
      <protection hidden="1"/>
    </xf>
    <xf numFmtId="0" fontId="4" fillId="34" borderId="31" xfId="0" applyNumberFormat="1" applyFont="1" applyFill="1" applyBorder="1" applyAlignment="1" applyProtection="1">
      <alignment horizontal="center"/>
      <protection hidden="1"/>
    </xf>
    <xf numFmtId="173" fontId="0" fillId="34" borderId="31" xfId="0" applyNumberFormat="1" applyFill="1" applyBorder="1" applyAlignment="1" applyProtection="1">
      <alignment horizontal="center"/>
      <protection hidden="1"/>
    </xf>
    <xf numFmtId="2" fontId="0" fillId="34" borderId="32" xfId="0" applyNumberForma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34" borderId="32" xfId="0" applyNumberForma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12" fontId="1" fillId="35" borderId="34" xfId="0" applyNumberFormat="1" applyFont="1" applyFill="1" applyBorder="1" applyAlignment="1" applyProtection="1">
      <alignment horizontal="left" indent="1"/>
      <protection hidden="1"/>
    </xf>
    <xf numFmtId="1" fontId="1" fillId="35" borderId="23" xfId="0" applyNumberFormat="1" applyFont="1" applyFill="1" applyBorder="1" applyAlignment="1" applyProtection="1">
      <alignment horizontal="center"/>
      <protection hidden="1"/>
    </xf>
    <xf numFmtId="172" fontId="1" fillId="35" borderId="0" xfId="0" applyNumberFormat="1" applyFont="1" applyFill="1" applyBorder="1" applyAlignment="1" applyProtection="1">
      <alignment horizontal="center"/>
      <protection hidden="1"/>
    </xf>
    <xf numFmtId="1" fontId="1" fillId="35" borderId="14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 applyProtection="1">
      <alignment/>
      <protection/>
    </xf>
    <xf numFmtId="172" fontId="16" fillId="0" borderId="0" xfId="0" applyNumberFormat="1" applyFont="1" applyAlignment="1" applyProtection="1">
      <alignment horizontal="center"/>
      <protection/>
    </xf>
    <xf numFmtId="0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" fillId="37" borderId="17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4" borderId="32" xfId="0" applyNumberFormat="1" applyFill="1" applyBorder="1" applyAlignment="1" applyProtection="1">
      <alignment horizontal="center"/>
      <protection/>
    </xf>
    <xf numFmtId="0" fontId="0" fillId="34" borderId="26" xfId="0" applyNumberFormat="1" applyFill="1" applyBorder="1" applyAlignment="1" applyProtection="1">
      <alignment horizontal="center"/>
      <protection/>
    </xf>
    <xf numFmtId="0" fontId="4" fillId="34" borderId="31" xfId="0" applyNumberFormat="1" applyFont="1" applyFill="1" applyBorder="1" applyAlignment="1" applyProtection="1">
      <alignment horizontal="center"/>
      <protection/>
    </xf>
    <xf numFmtId="173" fontId="0" fillId="34" borderId="31" xfId="0" applyNumberFormat="1" applyFill="1" applyBorder="1" applyAlignment="1" applyProtection="1">
      <alignment horizontal="center"/>
      <protection/>
    </xf>
    <xf numFmtId="2" fontId="0" fillId="34" borderId="32" xfId="0" applyNumberFormat="1" applyFill="1" applyBorder="1" applyAlignment="1" applyProtection="1">
      <alignment horizontal="center"/>
      <protection/>
    </xf>
    <xf numFmtId="0" fontId="0" fillId="34" borderId="41" xfId="0" applyNumberFormat="1" applyFill="1" applyBorder="1" applyAlignment="1" applyProtection="1">
      <alignment horizontal="center"/>
      <protection/>
    </xf>
    <xf numFmtId="0" fontId="0" fillId="0" borderId="15" xfId="0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35" borderId="0" xfId="0" applyFill="1" applyAlignment="1">
      <alignment/>
    </xf>
    <xf numFmtId="0" fontId="18" fillId="37" borderId="10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37" borderId="0" xfId="0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37" borderId="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19" fillId="37" borderId="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20">
    <dxf>
      <font>
        <color indexed="10"/>
      </font>
    </dxf>
    <dxf/>
    <dxf/>
    <dxf/>
    <dxf>
      <font>
        <color indexed="10"/>
      </font>
    </dxf>
    <dxf/>
    <dxf/>
    <dxf/>
    <dxf>
      <font>
        <color indexed="10"/>
      </font>
    </dxf>
    <dxf/>
    <dxf/>
    <dxf/>
    <dxf>
      <font>
        <color indexed="10"/>
      </font>
    </dxf>
    <dxf/>
    <dxf/>
    <dxf/>
    <dxf>
      <font>
        <color indexed="10"/>
      </font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38100</xdr:rowOff>
    </xdr:from>
    <xdr:to>
      <xdr:col>8</xdr:col>
      <xdr:colOff>38100</xdr:colOff>
      <xdr:row>5</xdr:row>
      <xdr:rowOff>0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3581400" y="5238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Version nr.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49</xdr:row>
      <xdr:rowOff>142875</xdr:rowOff>
    </xdr:from>
    <xdr:to>
      <xdr:col>18</xdr:col>
      <xdr:colOff>28575</xdr:colOff>
      <xdr:row>53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8601075"/>
          <a:ext cx="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15</xdr:col>
      <xdr:colOff>0</xdr:colOff>
      <xdr:row>39</xdr:row>
      <xdr:rowOff>9525</xdr:rowOff>
    </xdr:from>
    <xdr:to>
      <xdr:col>18</xdr:col>
      <xdr:colOff>28575</xdr:colOff>
      <xdr:row>42</xdr:row>
      <xdr:rowOff>66675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848475"/>
          <a:ext cx="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466725</xdr:colOff>
      <xdr:row>0</xdr:row>
      <xdr:rowOff>638175</xdr:rowOff>
    </xdr:to>
    <xdr:pic>
      <xdr:nvPicPr>
        <xdr:cNvPr id="1" name="Billede 1" descr="sidehov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2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0</xdr:row>
      <xdr:rowOff>638175</xdr:rowOff>
    </xdr:to>
    <xdr:pic>
      <xdr:nvPicPr>
        <xdr:cNvPr id="1" name="Billede 1" descr="sidehov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0</xdr:row>
      <xdr:rowOff>638175</xdr:rowOff>
    </xdr:to>
    <xdr:pic>
      <xdr:nvPicPr>
        <xdr:cNvPr id="1" name="Billede 1" descr="sidehov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N72"/>
  <sheetViews>
    <sheetView zoomScale="108" zoomScaleNormal="108" zoomScalePageLayoutView="0" workbookViewId="0" topLeftCell="A1">
      <selection activeCell="A1" sqref="A1:N72"/>
    </sheetView>
  </sheetViews>
  <sheetFormatPr defaultColWidth="9.140625" defaultRowHeight="12.75"/>
  <sheetData>
    <row r="1" spans="1:14" s="218" customFormat="1" ht="12.75" customHeight="1">
      <c r="A1" s="228" t="s">
        <v>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18" customFormat="1" ht="12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218" customFormat="1" ht="12.7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s="218" customFormat="1" ht="12.7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s="218" customFormat="1" ht="12.7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s="218" customFormat="1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s="218" customFormat="1" ht="12.7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1:14" s="218" customFormat="1" ht="12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spans="1:14" s="218" customFormat="1" ht="12.7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</row>
    <row r="10" spans="1:14" s="218" customFormat="1" ht="12.7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</row>
    <row r="11" spans="1:14" s="218" customFormat="1" ht="12.7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 s="218" customFormat="1" ht="12.7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s="218" customFormat="1" ht="12.7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</row>
    <row r="14" spans="1:14" s="218" customFormat="1" ht="12.7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s="218" customFormat="1" ht="12.7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4" s="218" customFormat="1" ht="12.7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</row>
    <row r="17" spans="1:14" s="218" customFormat="1" ht="12.7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</row>
    <row r="18" spans="1:14" s="218" customFormat="1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14" s="218" customFormat="1" ht="12.7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 s="218" customFormat="1" ht="12.7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s="218" customFormat="1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</row>
    <row r="22" spans="1:14" s="218" customFormat="1" ht="12.7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</row>
    <row r="23" spans="1:14" s="218" customFormat="1" ht="12.7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</row>
    <row r="24" spans="1:14" s="218" customFormat="1" ht="12.7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14" s="218" customFormat="1" ht="12.7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</row>
    <row r="26" spans="1:14" s="218" customFormat="1" ht="12.7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14" s="218" customFormat="1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14" s="218" customFormat="1" ht="12.75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</row>
    <row r="29" spans="1:14" s="218" customFormat="1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</row>
    <row r="30" spans="1:14" s="218" customFormat="1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s="218" customFormat="1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</row>
    <row r="32" spans="1:14" s="218" customFormat="1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s="218" customFormat="1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  <row r="34" spans="1:14" s="218" customFormat="1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s="218" customFormat="1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</row>
    <row r="36" spans="1:14" s="218" customFormat="1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4" s="218" customFormat="1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</row>
    <row r="38" spans="1:14" s="218" customFormat="1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</row>
    <row r="39" spans="1:14" s="218" customFormat="1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</row>
    <row r="40" spans="1:14" s="218" customFormat="1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</row>
    <row r="41" spans="1:14" s="218" customFormat="1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1:14" s="218" customFormat="1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s="218" customFormat="1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1:14" s="218" customFormat="1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</row>
    <row r="45" spans="1:14" s="218" customFormat="1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</row>
    <row r="46" spans="1:14" s="218" customFormat="1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s="218" customFormat="1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</row>
    <row r="48" spans="1:14" s="218" customFormat="1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</row>
    <row r="49" spans="1:14" s="218" customFormat="1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</row>
    <row r="50" spans="1:14" s="218" customFormat="1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</row>
    <row r="51" spans="1:14" s="218" customFormat="1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</row>
    <row r="52" spans="1:14" s="218" customFormat="1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</row>
    <row r="53" spans="1:14" s="218" customFormat="1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</row>
    <row r="54" spans="1:14" s="218" customFormat="1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</row>
    <row r="55" spans="1:14" ht="12.75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</row>
    <row r="56" spans="1:14" ht="12.75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</row>
    <row r="57" spans="1:14" ht="12.75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</row>
    <row r="58" spans="1:14" ht="12.7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</row>
    <row r="59" spans="1:14" ht="12.7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</row>
    <row r="60" spans="1:14" ht="12.75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</row>
    <row r="61" spans="1:14" ht="12.75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</row>
    <row r="62" spans="1:14" ht="12.7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</row>
    <row r="63" spans="1:14" ht="12.7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ht="12.7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</row>
    <row r="65" spans="1:14" ht="12.75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12.7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</row>
    <row r="67" spans="1:14" ht="12.7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</row>
    <row r="68" spans="1:14" ht="12.7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</row>
    <row r="69" spans="1:14" ht="12.75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</row>
    <row r="70" spans="1:14" ht="12.75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</row>
    <row r="71" spans="1:14" ht="12.75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</row>
    <row r="72" spans="1:14" ht="12.75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</row>
  </sheetData>
  <sheetProtection password="C448" sheet="1" objects="1" scenarios="1"/>
  <mergeCells count="1">
    <mergeCell ref="A1:N72"/>
  </mergeCells>
  <printOptions horizontalCentered="1" verticalCentered="1"/>
  <pageMargins left="0.25" right="0.3" top="1.4566929133858268" bottom="0.984251968503937" header="0.5118110236220472" footer="0.5118110236220472"/>
  <pageSetup fitToHeight="1" fitToWidth="1" horizontalDpi="360" verticalDpi="360" orientation="portrait" paperSize="9" scale="74" r:id="rId5"/>
  <drawing r:id="rId4"/>
  <legacyDrawing r:id="rId3"/>
  <oleObjects>
    <oleObject progId="Word.Document.8" shapeId="3554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Y52"/>
  <sheetViews>
    <sheetView zoomScale="123" zoomScaleNormal="123" zoomScalePageLayoutView="0" workbookViewId="0" topLeftCell="A1">
      <selection activeCell="A50" sqref="A50"/>
    </sheetView>
  </sheetViews>
  <sheetFormatPr defaultColWidth="9.140625" defaultRowHeight="12.75"/>
  <cols>
    <col min="1" max="1" width="13.7109375" style="1" customWidth="1"/>
    <col min="2" max="2" width="6.8515625" style="1" customWidth="1"/>
    <col min="3" max="3" width="8.00390625" style="1" customWidth="1"/>
    <col min="4" max="4" width="7.57421875" style="85" customWidth="1"/>
    <col min="5" max="5" width="6.28125" style="85" customWidth="1"/>
    <col min="6" max="6" width="6.00390625" style="1" customWidth="1"/>
    <col min="7" max="7" width="8.140625" style="1" customWidth="1"/>
    <col min="8" max="8" width="8.7109375" style="1" customWidth="1"/>
    <col min="9" max="9" width="8.28125" style="1" customWidth="1"/>
    <col min="10" max="10" width="5.57421875" style="1" customWidth="1"/>
    <col min="11" max="11" width="8.28125" style="1" customWidth="1"/>
    <col min="12" max="12" width="9.140625" style="1" customWidth="1"/>
    <col min="13" max="13" width="8.7109375" style="1" customWidth="1"/>
    <col min="14" max="14" width="7.57421875" style="1" customWidth="1"/>
    <col min="15" max="15" width="3.28125" style="0" hidden="1" customWidth="1"/>
    <col min="16" max="16" width="9.140625" style="1" hidden="1" customWidth="1"/>
    <col min="17" max="17" width="10.7109375" style="1" hidden="1" customWidth="1"/>
    <col min="18" max="18" width="3.28125" style="0" hidden="1" customWidth="1"/>
    <col min="19" max="19" width="6.7109375" style="91" hidden="1" customWidth="1"/>
    <col min="20" max="20" width="5.7109375" style="91" hidden="1" customWidth="1"/>
    <col min="21" max="21" width="3.28125" style="0" hidden="1" customWidth="1"/>
    <col min="22" max="22" width="9.140625" style="74" hidden="1" customWidth="1"/>
    <col min="23" max="23" width="3.00390625" style="86" hidden="1" customWidth="1"/>
    <col min="24" max="24" width="9.140625" style="1" hidden="1" customWidth="1"/>
    <col min="25" max="25" width="14.8515625" style="85" hidden="1" customWidth="1"/>
    <col min="26" max="26" width="9.140625" style="1" hidden="1" customWidth="1"/>
    <col min="27" max="27" width="0" style="1" hidden="1" customWidth="1"/>
    <col min="28" max="16384" width="9.140625" style="1" customWidth="1"/>
  </cols>
  <sheetData>
    <row r="1" spans="1:25" s="210" customFormat="1" ht="72" customHeight="1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209"/>
      <c r="R1" s="209"/>
      <c r="S1" s="211"/>
      <c r="T1" s="211"/>
      <c r="U1" s="209"/>
      <c r="V1" s="212"/>
      <c r="W1" s="213"/>
      <c r="Y1" s="214"/>
    </row>
    <row r="2" spans="1:14" ht="18.75" customHeight="1">
      <c r="A2" s="215" t="s">
        <v>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29.25" customHeight="1">
      <c r="A3" s="38"/>
      <c r="B3" s="21"/>
      <c r="C3" s="21"/>
      <c r="D3" s="80"/>
      <c r="E3" s="80"/>
      <c r="F3" s="21"/>
      <c r="G3" s="21"/>
      <c r="H3" s="21"/>
      <c r="I3" s="21"/>
      <c r="J3" s="21"/>
      <c r="K3" s="21"/>
      <c r="L3" s="21"/>
      <c r="M3" s="21"/>
      <c r="N3" s="18"/>
    </row>
    <row r="4" spans="1:23" ht="12.75">
      <c r="A4" s="51" t="s">
        <v>39</v>
      </c>
      <c r="B4" s="232"/>
      <c r="C4" s="233"/>
      <c r="D4" s="233"/>
      <c r="E4" s="233"/>
      <c r="F4" s="233"/>
      <c r="G4" s="233"/>
      <c r="H4" s="233"/>
      <c r="I4" s="233"/>
      <c r="J4" s="35"/>
      <c r="K4" s="52" t="s">
        <v>42</v>
      </c>
      <c r="L4" s="232"/>
      <c r="M4" s="233"/>
      <c r="N4" s="18"/>
      <c r="V4" s="75"/>
      <c r="W4" s="87"/>
    </row>
    <row r="5" spans="1:23" ht="12.75">
      <c r="A5" s="38"/>
      <c r="B5" s="21"/>
      <c r="C5" s="21"/>
      <c r="D5" s="80"/>
      <c r="E5" s="80"/>
      <c r="F5" s="21"/>
      <c r="G5" s="21"/>
      <c r="H5" s="21"/>
      <c r="I5" s="21"/>
      <c r="J5" s="21"/>
      <c r="K5" s="21"/>
      <c r="L5" s="21"/>
      <c r="M5" s="21"/>
      <c r="N5" s="18"/>
      <c r="V5" s="75"/>
      <c r="W5" s="87"/>
    </row>
    <row r="6" spans="1:23" ht="12.75">
      <c r="A6" s="51" t="s">
        <v>40</v>
      </c>
      <c r="B6" s="232"/>
      <c r="C6" s="233"/>
      <c r="D6" s="233"/>
      <c r="E6" s="233"/>
      <c r="F6" s="233"/>
      <c r="G6" s="233"/>
      <c r="H6" s="233"/>
      <c r="I6" s="233"/>
      <c r="J6" s="21"/>
      <c r="K6" s="52" t="s">
        <v>43</v>
      </c>
      <c r="L6" s="232"/>
      <c r="M6" s="233"/>
      <c r="N6" s="18"/>
      <c r="V6" s="75"/>
      <c r="W6" s="87"/>
    </row>
    <row r="7" spans="1:23" ht="12.75">
      <c r="A7" s="38"/>
      <c r="B7" s="21"/>
      <c r="C7" s="21"/>
      <c r="D7" s="80"/>
      <c r="E7" s="80"/>
      <c r="F7" s="21"/>
      <c r="G7" s="21"/>
      <c r="H7" s="21"/>
      <c r="I7" s="21"/>
      <c r="J7" s="21"/>
      <c r="K7" s="21"/>
      <c r="L7" s="21"/>
      <c r="M7" s="21"/>
      <c r="N7" s="18"/>
      <c r="V7" s="75"/>
      <c r="W7" s="87"/>
    </row>
    <row r="8" spans="1:23" ht="12.75">
      <c r="A8" s="51" t="s">
        <v>41</v>
      </c>
      <c r="B8" s="232"/>
      <c r="C8" s="233"/>
      <c r="D8" s="233"/>
      <c r="E8" s="233"/>
      <c r="F8" s="233"/>
      <c r="G8" s="233"/>
      <c r="H8" s="233"/>
      <c r="I8" s="233"/>
      <c r="J8" s="21"/>
      <c r="K8" s="52" t="s">
        <v>47</v>
      </c>
      <c r="L8" s="234"/>
      <c r="M8" s="235"/>
      <c r="N8" s="18"/>
      <c r="V8" s="75"/>
      <c r="W8" s="87"/>
    </row>
    <row r="9" spans="1:23" ht="12.75">
      <c r="A9" s="38"/>
      <c r="B9" s="45"/>
      <c r="C9" s="45"/>
      <c r="D9" s="80"/>
      <c r="E9" s="80"/>
      <c r="F9" s="21"/>
      <c r="G9" s="21"/>
      <c r="H9" s="21"/>
      <c r="I9" s="21"/>
      <c r="J9" s="21"/>
      <c r="K9" s="21"/>
      <c r="L9" s="21"/>
      <c r="M9" s="21"/>
      <c r="N9" s="18"/>
      <c r="V9" s="75"/>
      <c r="W9" s="87"/>
    </row>
    <row r="10" spans="1:23" ht="13.5" thickBot="1">
      <c r="A10" s="5"/>
      <c r="B10" s="46"/>
      <c r="C10" s="46"/>
      <c r="D10" s="81"/>
      <c r="E10" s="81"/>
      <c r="F10" s="6"/>
      <c r="G10" s="6"/>
      <c r="H10" s="6"/>
      <c r="I10" s="6"/>
      <c r="J10" s="6"/>
      <c r="K10" s="6"/>
      <c r="L10" s="6"/>
      <c r="M10" s="6"/>
      <c r="N10" s="7"/>
      <c r="V10" s="75"/>
      <c r="W10" s="87"/>
    </row>
    <row r="11" spans="1:23" ht="13.5" thickBot="1">
      <c r="A11" s="88"/>
      <c r="B11" s="41" t="s">
        <v>32</v>
      </c>
      <c r="C11" s="42"/>
      <c r="D11" s="82"/>
      <c r="E11" s="82"/>
      <c r="F11" s="21"/>
      <c r="G11" s="21"/>
      <c r="H11" s="21"/>
      <c r="I11" s="21"/>
      <c r="J11" s="18"/>
      <c r="K11" s="42" t="s">
        <v>31</v>
      </c>
      <c r="L11" s="43"/>
      <c r="M11" s="43"/>
      <c r="N11" s="44"/>
      <c r="V11" s="75"/>
      <c r="W11" s="87"/>
    </row>
    <row r="12" spans="1:23" ht="15" thickBot="1">
      <c r="A12" s="88"/>
      <c r="B12" s="9" t="s">
        <v>18</v>
      </c>
      <c r="C12" s="21"/>
      <c r="D12" s="115">
        <v>50</v>
      </c>
      <c r="E12" s="80" t="s">
        <v>55</v>
      </c>
      <c r="F12" s="50" t="s">
        <v>34</v>
      </c>
      <c r="G12" s="20"/>
      <c r="H12" s="20" t="s">
        <v>38</v>
      </c>
      <c r="I12" s="20"/>
      <c r="J12" s="33"/>
      <c r="K12" s="34" t="s">
        <v>30</v>
      </c>
      <c r="L12" s="22"/>
      <c r="M12" s="176">
        <v>0</v>
      </c>
      <c r="N12" s="23" t="s">
        <v>14</v>
      </c>
      <c r="V12" s="75"/>
      <c r="W12" s="87"/>
    </row>
    <row r="13" spans="1:23" ht="15" customHeight="1" thickBot="1">
      <c r="A13" s="88"/>
      <c r="B13" s="9" t="s">
        <v>19</v>
      </c>
      <c r="C13" s="21"/>
      <c r="D13" s="116">
        <v>5</v>
      </c>
      <c r="E13" s="80" t="s">
        <v>20</v>
      </c>
      <c r="F13" s="129" t="s">
        <v>44</v>
      </c>
      <c r="G13" s="130"/>
      <c r="H13" s="131">
        <v>20</v>
      </c>
      <c r="I13" s="21" t="s">
        <v>33</v>
      </c>
      <c r="J13" s="18"/>
      <c r="K13" s="35" t="s">
        <v>50</v>
      </c>
      <c r="L13" s="18"/>
      <c r="M13" s="177">
        <v>0</v>
      </c>
      <c r="N13" s="24" t="s">
        <v>57</v>
      </c>
      <c r="V13" s="75"/>
      <c r="W13" s="87"/>
    </row>
    <row r="14" spans="1:25" ht="13.5" thickBot="1">
      <c r="A14" s="89"/>
      <c r="B14" s="19" t="s">
        <v>35</v>
      </c>
      <c r="C14" s="6"/>
      <c r="D14" s="117">
        <v>0.25</v>
      </c>
      <c r="E14" s="81" t="s">
        <v>14</v>
      </c>
      <c r="F14" s="19"/>
      <c r="G14" s="6"/>
      <c r="H14" s="6"/>
      <c r="I14" s="6"/>
      <c r="J14" s="37"/>
      <c r="K14" s="36" t="s">
        <v>51</v>
      </c>
      <c r="L14" s="7"/>
      <c r="M14" s="178">
        <v>0</v>
      </c>
      <c r="N14" s="25" t="s">
        <v>13</v>
      </c>
      <c r="V14" s="76"/>
      <c r="W14" s="87"/>
      <c r="Y14" s="87"/>
    </row>
    <row r="15" spans="1:14" ht="12.75" hidden="1">
      <c r="A15" s="26"/>
      <c r="B15" s="27"/>
      <c r="C15" s="27"/>
      <c r="D15" s="83"/>
      <c r="E15" s="83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12.75" hidden="1">
      <c r="A16" s="26"/>
      <c r="B16" s="27"/>
      <c r="C16" s="27"/>
      <c r="D16" s="83"/>
      <c r="E16" s="83"/>
      <c r="F16" s="27"/>
      <c r="G16" s="27"/>
      <c r="H16" s="27"/>
      <c r="I16" s="29"/>
      <c r="J16" s="27"/>
      <c r="K16" s="48"/>
      <c r="L16" s="47"/>
      <c r="M16" s="48"/>
      <c r="N16" s="28"/>
    </row>
    <row r="17" spans="1:14" ht="12.75" hidden="1">
      <c r="A17" s="26"/>
      <c r="B17" s="27"/>
      <c r="C17" s="27"/>
      <c r="D17" s="83"/>
      <c r="E17" s="83"/>
      <c r="F17" s="27"/>
      <c r="G17" s="27"/>
      <c r="H17" s="27"/>
      <c r="I17" s="27"/>
      <c r="J17" s="30"/>
      <c r="K17" s="27"/>
      <c r="L17" s="27"/>
      <c r="M17" s="27"/>
      <c r="N17" s="28"/>
    </row>
    <row r="18" spans="1:25" ht="13.5" hidden="1" thickBot="1">
      <c r="A18" s="26"/>
      <c r="B18" s="39"/>
      <c r="C18" s="54"/>
      <c r="D18" s="69"/>
      <c r="E18" s="69"/>
      <c r="F18" s="55"/>
      <c r="G18" s="56"/>
      <c r="H18" s="54"/>
      <c r="I18" s="57"/>
      <c r="J18" s="58"/>
      <c r="K18" s="59"/>
      <c r="L18" s="60"/>
      <c r="M18" s="61"/>
      <c r="N18" s="62"/>
      <c r="V18" s="77">
        <f>IF(B18="","",INDEX($S$23:$S$32,MATCH(E18,$T$23:$T$31,-1)))</f>
      </c>
      <c r="Y18" s="87"/>
    </row>
    <row r="19" spans="1:22" ht="13.5" thickBot="1">
      <c r="A19" s="2" t="s">
        <v>0</v>
      </c>
      <c r="B19" s="3" t="s">
        <v>1</v>
      </c>
      <c r="C19" s="3" t="s">
        <v>2</v>
      </c>
      <c r="D19" s="84" t="s">
        <v>3</v>
      </c>
      <c r="E19" s="84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23</v>
      </c>
      <c r="K19" s="3" t="s">
        <v>9</v>
      </c>
      <c r="L19" s="3" t="s">
        <v>10</v>
      </c>
      <c r="M19" s="3" t="s">
        <v>11</v>
      </c>
      <c r="N19" s="4" t="s">
        <v>17</v>
      </c>
      <c r="P19" s="2" t="s">
        <v>24</v>
      </c>
      <c r="Q19" s="4" t="s">
        <v>25</v>
      </c>
      <c r="S19" s="96" t="s">
        <v>27</v>
      </c>
      <c r="T19" s="92" t="s">
        <v>28</v>
      </c>
      <c r="V19" s="78" t="s">
        <v>29</v>
      </c>
    </row>
    <row r="20" spans="1:24" ht="15" thickBot="1">
      <c r="A20" s="5"/>
      <c r="B20" s="6" t="s">
        <v>36</v>
      </c>
      <c r="C20" s="6" t="s">
        <v>49</v>
      </c>
      <c r="D20" s="81" t="s">
        <v>48</v>
      </c>
      <c r="E20" s="81" t="s">
        <v>13</v>
      </c>
      <c r="F20" s="6" t="s">
        <v>14</v>
      </c>
      <c r="G20" s="6" t="s">
        <v>14</v>
      </c>
      <c r="H20" s="81" t="s">
        <v>14</v>
      </c>
      <c r="I20" s="81" t="s">
        <v>14</v>
      </c>
      <c r="J20" s="68"/>
      <c r="K20" s="6" t="s">
        <v>57</v>
      </c>
      <c r="L20" s="6" t="s">
        <v>57</v>
      </c>
      <c r="M20" s="6" t="s">
        <v>56</v>
      </c>
      <c r="N20" s="7" t="s">
        <v>15</v>
      </c>
      <c r="P20" s="5" t="s">
        <v>15</v>
      </c>
      <c r="Q20" s="7" t="s">
        <v>37</v>
      </c>
      <c r="S20" s="97" t="s">
        <v>26</v>
      </c>
      <c r="T20" s="93" t="s">
        <v>13</v>
      </c>
      <c r="V20" s="79" t="s">
        <v>53</v>
      </c>
      <c r="X20" s="23" t="s">
        <v>52</v>
      </c>
    </row>
    <row r="21" spans="1:24" ht="12.75">
      <c r="A21" s="186"/>
      <c r="B21" s="98"/>
      <c r="C21" s="95"/>
      <c r="D21" s="169"/>
      <c r="E21" s="169"/>
      <c r="F21" s="170"/>
      <c r="G21" s="171"/>
      <c r="H21" s="172"/>
      <c r="I21" s="173"/>
      <c r="J21" s="63"/>
      <c r="K21" s="65"/>
      <c r="L21" s="65"/>
      <c r="M21" s="174"/>
      <c r="N21" s="175"/>
      <c r="P21" s="16" t="s">
        <v>16</v>
      </c>
      <c r="Q21" s="17">
        <v>1.35</v>
      </c>
      <c r="S21" s="90">
        <v>8</v>
      </c>
      <c r="T21" s="94">
        <v>720</v>
      </c>
      <c r="V21" s="77">
        <f>IF(B21="","",INDEX($S$21:$S$32,MATCH(E21,$T$21:$T$31,-1)))</f>
      </c>
      <c r="X21" s="49" t="s">
        <v>44</v>
      </c>
    </row>
    <row r="22" spans="1:24" ht="13.5" thickBot="1">
      <c r="A22" s="155"/>
      <c r="B22" s="90"/>
      <c r="C22" s="94"/>
      <c r="D22" s="156"/>
      <c r="E22" s="156"/>
      <c r="F22" s="157"/>
      <c r="G22" s="158"/>
      <c r="H22" s="159"/>
      <c r="I22" s="160"/>
      <c r="J22" s="11"/>
      <c r="K22" s="8"/>
      <c r="L22" s="8"/>
      <c r="M22" s="161"/>
      <c r="N22" s="162"/>
      <c r="P22" s="15">
        <v>5</v>
      </c>
      <c r="Q22" s="12">
        <v>1.225</v>
      </c>
      <c r="S22" s="90">
        <v>7.6</v>
      </c>
      <c r="T22" s="94">
        <v>540</v>
      </c>
      <c r="V22" s="77">
        <f aca="true" t="shared" si="0" ref="V22:V50">IF(B22="","",INDEX($S$21:$S$32,MATCH(E22,$T$21:$T$31,-1)))</f>
      </c>
      <c r="X22" s="40" t="s">
        <v>45</v>
      </c>
    </row>
    <row r="23" spans="1:22" ht="12.75">
      <c r="A23" s="155"/>
      <c r="B23" s="90"/>
      <c r="C23" s="94"/>
      <c r="D23" s="156"/>
      <c r="E23" s="156"/>
      <c r="F23" s="157"/>
      <c r="G23" s="158"/>
      <c r="H23" s="159"/>
      <c r="I23" s="160"/>
      <c r="J23" s="11"/>
      <c r="K23" s="8"/>
      <c r="L23" s="8"/>
      <c r="M23" s="161"/>
      <c r="N23" s="162"/>
      <c r="P23" s="15">
        <v>4</v>
      </c>
      <c r="Q23" s="12">
        <v>0.802</v>
      </c>
      <c r="S23" s="98">
        <v>7.5</v>
      </c>
      <c r="T23" s="95">
        <v>360</v>
      </c>
      <c r="V23" s="77">
        <f t="shared" si="0"/>
      </c>
    </row>
    <row r="24" spans="1:22" ht="12.75">
      <c r="A24" s="155"/>
      <c r="B24" s="90"/>
      <c r="C24" s="94"/>
      <c r="D24" s="156"/>
      <c r="E24" s="156"/>
      <c r="F24" s="157"/>
      <c r="G24" s="158"/>
      <c r="H24" s="159"/>
      <c r="I24" s="160"/>
      <c r="J24" s="11"/>
      <c r="K24" s="8"/>
      <c r="L24" s="8"/>
      <c r="M24" s="161"/>
      <c r="N24" s="162"/>
      <c r="P24" s="15">
        <v>3</v>
      </c>
      <c r="Q24" s="12">
        <v>0.522</v>
      </c>
      <c r="S24" s="90">
        <v>7.3</v>
      </c>
      <c r="T24" s="94">
        <v>324</v>
      </c>
      <c r="V24" s="77">
        <f t="shared" si="0"/>
      </c>
    </row>
    <row r="25" spans="1:22" ht="12.75">
      <c r="A25" s="155"/>
      <c r="B25" s="90"/>
      <c r="C25" s="94"/>
      <c r="D25" s="156"/>
      <c r="E25" s="156"/>
      <c r="F25" s="157"/>
      <c r="G25" s="158"/>
      <c r="H25" s="159"/>
      <c r="I25" s="160"/>
      <c r="J25" s="11"/>
      <c r="K25" s="8"/>
      <c r="L25" s="8"/>
      <c r="M25" s="161"/>
      <c r="N25" s="162"/>
      <c r="P25" s="15">
        <v>2.5</v>
      </c>
      <c r="Q25" s="12">
        <v>0.387</v>
      </c>
      <c r="S25" s="90">
        <v>7.2</v>
      </c>
      <c r="T25" s="94">
        <v>288</v>
      </c>
      <c r="V25" s="77">
        <f t="shared" si="0"/>
      </c>
    </row>
    <row r="26" spans="1:22" ht="12.75">
      <c r="A26" s="155"/>
      <c r="B26" s="90"/>
      <c r="C26" s="94"/>
      <c r="D26" s="156"/>
      <c r="E26" s="156"/>
      <c r="F26" s="157"/>
      <c r="G26" s="158"/>
      <c r="H26" s="159"/>
      <c r="I26" s="160"/>
      <c r="J26" s="11"/>
      <c r="K26" s="8"/>
      <c r="L26" s="8"/>
      <c r="M26" s="161"/>
      <c r="N26" s="162"/>
      <c r="P26" s="15">
        <v>2</v>
      </c>
      <c r="Q26" s="12">
        <v>0.283</v>
      </c>
      <c r="S26" s="90">
        <v>7.1</v>
      </c>
      <c r="T26" s="94">
        <v>257</v>
      </c>
      <c r="V26" s="77">
        <f t="shared" si="0"/>
      </c>
    </row>
    <row r="27" spans="1:22" ht="12.75">
      <c r="A27" s="155"/>
      <c r="B27" s="90"/>
      <c r="C27" s="94"/>
      <c r="D27" s="156"/>
      <c r="E27" s="156"/>
      <c r="F27" s="157"/>
      <c r="G27" s="158"/>
      <c r="H27" s="159"/>
      <c r="I27" s="160"/>
      <c r="J27" s="11"/>
      <c r="K27" s="8"/>
      <c r="L27" s="8"/>
      <c r="M27" s="161"/>
      <c r="N27" s="162"/>
      <c r="P27" s="15">
        <v>1.5</v>
      </c>
      <c r="Q27" s="12">
        <v>0.207</v>
      </c>
      <c r="S27" s="90">
        <v>6.8</v>
      </c>
      <c r="T27" s="94">
        <v>216</v>
      </c>
      <c r="V27" s="77">
        <f t="shared" si="0"/>
      </c>
    </row>
    <row r="28" spans="1:22" ht="12.75">
      <c r="A28" s="155"/>
      <c r="B28" s="90"/>
      <c r="C28" s="94"/>
      <c r="D28" s="156"/>
      <c r="E28" s="156"/>
      <c r="F28" s="157"/>
      <c r="G28" s="158"/>
      <c r="H28" s="159"/>
      <c r="I28" s="160"/>
      <c r="J28" s="11"/>
      <c r="K28" s="8"/>
      <c r="L28" s="8"/>
      <c r="M28" s="161"/>
      <c r="N28" s="162"/>
      <c r="P28" s="15">
        <v>1</v>
      </c>
      <c r="Q28" s="12">
        <v>0.169</v>
      </c>
      <c r="S28" s="90">
        <v>6.7</v>
      </c>
      <c r="T28" s="94">
        <v>180</v>
      </c>
      <c r="V28" s="77">
        <f t="shared" si="0"/>
      </c>
    </row>
    <row r="29" spans="1:22" ht="12.75">
      <c r="A29" s="155"/>
      <c r="B29" s="90"/>
      <c r="C29" s="94"/>
      <c r="D29" s="156"/>
      <c r="E29" s="156"/>
      <c r="F29" s="157"/>
      <c r="G29" s="158"/>
      <c r="H29" s="159"/>
      <c r="I29" s="160"/>
      <c r="J29" s="11"/>
      <c r="K29" s="8"/>
      <c r="L29" s="8"/>
      <c r="M29" s="161"/>
      <c r="N29" s="162"/>
      <c r="P29" s="15">
        <v>0.75</v>
      </c>
      <c r="Q29" s="12">
        <v>0.152</v>
      </c>
      <c r="S29" s="90">
        <v>6.5</v>
      </c>
      <c r="T29" s="94">
        <v>144</v>
      </c>
      <c r="V29" s="77">
        <f t="shared" si="0"/>
      </c>
    </row>
    <row r="30" spans="1:22" ht="12.75">
      <c r="A30" s="155"/>
      <c r="B30" s="90"/>
      <c r="C30" s="94"/>
      <c r="D30" s="156"/>
      <c r="E30" s="156"/>
      <c r="F30" s="157"/>
      <c r="G30" s="158"/>
      <c r="H30" s="159"/>
      <c r="I30" s="160"/>
      <c r="J30" s="11"/>
      <c r="K30" s="8"/>
      <c r="L30" s="8"/>
      <c r="M30" s="161"/>
      <c r="N30" s="162"/>
      <c r="P30" s="15">
        <v>0.5</v>
      </c>
      <c r="Q30" s="12">
        <v>0.095</v>
      </c>
      <c r="S30" s="90">
        <v>6.3</v>
      </c>
      <c r="T30" s="94">
        <v>108</v>
      </c>
      <c r="V30" s="77">
        <f t="shared" si="0"/>
      </c>
    </row>
    <row r="31" spans="1:23" ht="12.75">
      <c r="A31" s="155"/>
      <c r="B31" s="90"/>
      <c r="C31" s="94"/>
      <c r="D31" s="156"/>
      <c r="E31" s="156"/>
      <c r="F31" s="157"/>
      <c r="G31" s="158"/>
      <c r="H31" s="159"/>
      <c r="I31" s="160"/>
      <c r="J31" s="11"/>
      <c r="K31" s="8"/>
      <c r="L31" s="8"/>
      <c r="M31" s="161"/>
      <c r="N31" s="162"/>
      <c r="P31" s="15">
        <v>0.25</v>
      </c>
      <c r="Q31" s="12">
        <v>0.063</v>
      </c>
      <c r="S31" s="90">
        <v>6.2</v>
      </c>
      <c r="T31" s="94">
        <v>72</v>
      </c>
      <c r="V31" s="77">
        <f t="shared" si="0"/>
      </c>
      <c r="W31" s="85"/>
    </row>
    <row r="32" spans="1:22" ht="12.75">
      <c r="A32" s="155"/>
      <c r="B32" s="90"/>
      <c r="C32" s="94"/>
      <c r="D32" s="156"/>
      <c r="E32" s="156"/>
      <c r="F32" s="157"/>
      <c r="G32" s="158"/>
      <c r="H32" s="159"/>
      <c r="I32" s="160"/>
      <c r="J32" s="11"/>
      <c r="K32" s="8"/>
      <c r="L32" s="8"/>
      <c r="M32" s="161"/>
      <c r="N32" s="162"/>
      <c r="Q32" s="10"/>
      <c r="S32" s="90">
        <v>5.7</v>
      </c>
      <c r="T32" s="94">
        <v>32</v>
      </c>
      <c r="V32" s="77">
        <f t="shared" si="0"/>
      </c>
    </row>
    <row r="33" spans="1:22" ht="12.75">
      <c r="A33" s="155"/>
      <c r="B33" s="90"/>
      <c r="C33" s="94"/>
      <c r="D33" s="156"/>
      <c r="E33" s="156"/>
      <c r="F33" s="157"/>
      <c r="G33" s="158"/>
      <c r="H33" s="159"/>
      <c r="I33" s="160"/>
      <c r="J33" s="11"/>
      <c r="K33" s="8"/>
      <c r="L33" s="8"/>
      <c r="M33" s="161"/>
      <c r="N33" s="162"/>
      <c r="Q33" s="10"/>
      <c r="V33" s="77">
        <f t="shared" si="0"/>
      </c>
    </row>
    <row r="34" spans="1:22" ht="12.75">
      <c r="A34" s="155"/>
      <c r="B34" s="90"/>
      <c r="C34" s="94"/>
      <c r="D34" s="156"/>
      <c r="E34" s="156"/>
      <c r="F34" s="157"/>
      <c r="G34" s="158"/>
      <c r="H34" s="159"/>
      <c r="I34" s="160"/>
      <c r="J34" s="11"/>
      <c r="K34" s="8"/>
      <c r="L34" s="8"/>
      <c r="M34" s="161"/>
      <c r="N34" s="162"/>
      <c r="V34" s="77">
        <f t="shared" si="0"/>
      </c>
    </row>
    <row r="35" spans="1:22" ht="12.75">
      <c r="A35" s="155"/>
      <c r="B35" s="90"/>
      <c r="C35" s="94"/>
      <c r="D35" s="156"/>
      <c r="E35" s="156"/>
      <c r="F35" s="157"/>
      <c r="G35" s="158"/>
      <c r="H35" s="159"/>
      <c r="I35" s="160"/>
      <c r="J35" s="11"/>
      <c r="K35" s="8"/>
      <c r="L35" s="8"/>
      <c r="M35" s="161"/>
      <c r="N35" s="162"/>
      <c r="V35" s="77">
        <f t="shared" si="0"/>
      </c>
    </row>
    <row r="36" spans="1:22" ht="12.75">
      <c r="A36" s="155"/>
      <c r="B36" s="90"/>
      <c r="C36" s="94"/>
      <c r="D36" s="156"/>
      <c r="E36" s="156"/>
      <c r="F36" s="157"/>
      <c r="G36" s="158"/>
      <c r="H36" s="159"/>
      <c r="I36" s="160"/>
      <c r="J36" s="11"/>
      <c r="K36" s="8"/>
      <c r="L36" s="8"/>
      <c r="M36" s="161"/>
      <c r="N36" s="162"/>
      <c r="V36" s="77">
        <f t="shared" si="0"/>
      </c>
    </row>
    <row r="37" spans="1:22" ht="12.75">
      <c r="A37" s="155"/>
      <c r="B37" s="90"/>
      <c r="C37" s="94"/>
      <c r="D37" s="156"/>
      <c r="E37" s="156"/>
      <c r="F37" s="157"/>
      <c r="G37" s="158"/>
      <c r="H37" s="159"/>
      <c r="I37" s="160"/>
      <c r="J37" s="11"/>
      <c r="K37" s="8"/>
      <c r="L37" s="8"/>
      <c r="M37" s="161"/>
      <c r="N37" s="162"/>
      <c r="V37" s="77">
        <f t="shared" si="0"/>
      </c>
    </row>
    <row r="38" spans="1:22" ht="12.75">
      <c r="A38" s="155"/>
      <c r="B38" s="90"/>
      <c r="C38" s="94"/>
      <c r="D38" s="156"/>
      <c r="E38" s="156"/>
      <c r="F38" s="157"/>
      <c r="G38" s="158"/>
      <c r="H38" s="159"/>
      <c r="I38" s="160"/>
      <c r="J38" s="11"/>
      <c r="K38" s="8"/>
      <c r="L38" s="8"/>
      <c r="M38" s="161"/>
      <c r="N38" s="162"/>
      <c r="V38" s="77">
        <f t="shared" si="0"/>
      </c>
    </row>
    <row r="39" spans="1:22" ht="12.75">
      <c r="A39" s="155"/>
      <c r="B39" s="90"/>
      <c r="C39" s="94"/>
      <c r="D39" s="156"/>
      <c r="E39" s="156"/>
      <c r="F39" s="157"/>
      <c r="G39" s="158"/>
      <c r="H39" s="159"/>
      <c r="I39" s="160"/>
      <c r="J39" s="11"/>
      <c r="K39" s="8"/>
      <c r="L39" s="8"/>
      <c r="M39" s="161"/>
      <c r="N39" s="162"/>
      <c r="V39" s="77">
        <f t="shared" si="0"/>
      </c>
    </row>
    <row r="40" spans="1:22" ht="12.75">
      <c r="A40" s="155"/>
      <c r="B40" s="90"/>
      <c r="C40" s="94"/>
      <c r="D40" s="156"/>
      <c r="E40" s="156"/>
      <c r="F40" s="157"/>
      <c r="G40" s="158"/>
      <c r="H40" s="159"/>
      <c r="I40" s="160"/>
      <c r="J40" s="11"/>
      <c r="K40" s="8"/>
      <c r="L40" s="8"/>
      <c r="M40" s="161"/>
      <c r="N40" s="162"/>
      <c r="V40" s="77">
        <f t="shared" si="0"/>
      </c>
    </row>
    <row r="41" spans="1:25" ht="12.75">
      <c r="A41" s="155"/>
      <c r="B41" s="90"/>
      <c r="C41" s="94"/>
      <c r="D41" s="156"/>
      <c r="E41" s="156"/>
      <c r="F41" s="157"/>
      <c r="G41" s="158"/>
      <c r="H41" s="159"/>
      <c r="I41" s="160"/>
      <c r="J41" s="11"/>
      <c r="K41" s="8"/>
      <c r="L41" s="8"/>
      <c r="M41" s="161"/>
      <c r="N41" s="162"/>
      <c r="Q41" s="1"/>
      <c r="V41" s="77">
        <f t="shared" si="0"/>
      </c>
      <c r="W41" s="86"/>
      <c r="Y41" s="85"/>
    </row>
    <row r="42" spans="1:22" ht="12.75">
      <c r="A42" s="155"/>
      <c r="B42" s="90"/>
      <c r="C42" s="94"/>
      <c r="D42" s="156"/>
      <c r="E42" s="156"/>
      <c r="F42" s="157"/>
      <c r="G42" s="158"/>
      <c r="H42" s="159"/>
      <c r="I42" s="160"/>
      <c r="J42" s="11"/>
      <c r="K42" s="8"/>
      <c r="L42" s="8"/>
      <c r="M42" s="161"/>
      <c r="N42" s="162"/>
      <c r="V42" s="77">
        <f t="shared" si="0"/>
      </c>
    </row>
    <row r="43" spans="1:22" ht="12.75">
      <c r="A43" s="155"/>
      <c r="B43" s="90"/>
      <c r="C43" s="94"/>
      <c r="D43" s="156"/>
      <c r="E43" s="156"/>
      <c r="F43" s="157"/>
      <c r="G43" s="158"/>
      <c r="H43" s="159"/>
      <c r="I43" s="160"/>
      <c r="J43" s="11"/>
      <c r="K43" s="8"/>
      <c r="L43" s="8"/>
      <c r="M43" s="161"/>
      <c r="N43" s="162"/>
      <c r="V43" s="77">
        <f t="shared" si="0"/>
      </c>
    </row>
    <row r="44" spans="1:22" ht="12.75">
      <c r="A44" s="155"/>
      <c r="B44" s="90"/>
      <c r="C44" s="94"/>
      <c r="D44" s="156"/>
      <c r="E44" s="156"/>
      <c r="F44" s="157"/>
      <c r="G44" s="158"/>
      <c r="H44" s="159"/>
      <c r="I44" s="160"/>
      <c r="J44" s="11"/>
      <c r="K44" s="8"/>
      <c r="L44" s="8"/>
      <c r="M44" s="161"/>
      <c r="N44" s="162"/>
      <c r="V44" s="77">
        <f t="shared" si="0"/>
      </c>
    </row>
    <row r="45" spans="1:22" ht="12.75">
      <c r="A45" s="155"/>
      <c r="B45" s="90"/>
      <c r="C45" s="94"/>
      <c r="D45" s="156"/>
      <c r="E45" s="156"/>
      <c r="F45" s="157"/>
      <c r="G45" s="158"/>
      <c r="H45" s="159"/>
      <c r="I45" s="160"/>
      <c r="J45" s="11"/>
      <c r="K45" s="8"/>
      <c r="L45" s="8"/>
      <c r="M45" s="161"/>
      <c r="N45" s="162"/>
      <c r="V45" s="77">
        <f t="shared" si="0"/>
      </c>
    </row>
    <row r="46" spans="1:22" ht="12.75">
      <c r="A46" s="155"/>
      <c r="B46" s="90"/>
      <c r="C46" s="94"/>
      <c r="D46" s="156"/>
      <c r="E46" s="156"/>
      <c r="F46" s="157"/>
      <c r="G46" s="158"/>
      <c r="H46" s="159"/>
      <c r="I46" s="160"/>
      <c r="J46" s="11"/>
      <c r="K46" s="8"/>
      <c r="L46" s="8"/>
      <c r="M46" s="161"/>
      <c r="N46" s="162"/>
      <c r="Q46" s="10"/>
      <c r="V46" s="77">
        <f t="shared" si="0"/>
      </c>
    </row>
    <row r="47" spans="1:22" ht="12.75">
      <c r="A47" s="155"/>
      <c r="B47" s="90"/>
      <c r="C47" s="94"/>
      <c r="D47" s="156"/>
      <c r="E47" s="156"/>
      <c r="F47" s="157"/>
      <c r="G47" s="158"/>
      <c r="H47" s="159"/>
      <c r="I47" s="160"/>
      <c r="J47" s="11"/>
      <c r="K47" s="8"/>
      <c r="L47" s="8"/>
      <c r="M47" s="161"/>
      <c r="N47" s="162"/>
      <c r="Q47" s="10"/>
      <c r="V47" s="77">
        <f t="shared" si="0"/>
      </c>
    </row>
    <row r="48" spans="1:22" ht="12.75">
      <c r="A48" s="155"/>
      <c r="B48" s="90"/>
      <c r="C48" s="94"/>
      <c r="D48" s="156"/>
      <c r="E48" s="156"/>
      <c r="F48" s="157"/>
      <c r="G48" s="158"/>
      <c r="H48" s="159"/>
      <c r="I48" s="160"/>
      <c r="J48" s="11"/>
      <c r="K48" s="8"/>
      <c r="L48" s="8"/>
      <c r="M48" s="161"/>
      <c r="N48" s="162"/>
      <c r="Q48" s="10"/>
      <c r="V48" s="77">
        <f t="shared" si="0"/>
      </c>
    </row>
    <row r="49" spans="1:22" ht="12.75">
      <c r="A49" s="155"/>
      <c r="B49" s="90"/>
      <c r="C49" s="94"/>
      <c r="D49" s="156"/>
      <c r="E49" s="156"/>
      <c r="F49" s="157"/>
      <c r="G49" s="158"/>
      <c r="H49" s="159"/>
      <c r="I49" s="160"/>
      <c r="J49" s="11"/>
      <c r="K49" s="8"/>
      <c r="L49" s="8"/>
      <c r="M49" s="161"/>
      <c r="N49" s="162"/>
      <c r="Q49" s="10"/>
      <c r="V49" s="77">
        <f t="shared" si="0"/>
      </c>
    </row>
    <row r="50" spans="1:22" ht="13.5" thickBot="1">
      <c r="A50" s="163"/>
      <c r="B50" s="164"/>
      <c r="C50" s="123"/>
      <c r="D50" s="69"/>
      <c r="E50" s="69"/>
      <c r="F50" s="127"/>
      <c r="G50" s="56"/>
      <c r="H50" s="165"/>
      <c r="I50" s="166"/>
      <c r="J50" s="58"/>
      <c r="K50" s="60"/>
      <c r="L50" s="60"/>
      <c r="M50" s="167"/>
      <c r="N50" s="168"/>
      <c r="Q50" s="10"/>
      <c r="V50" s="77">
        <f t="shared" si="0"/>
      </c>
    </row>
    <row r="51" spans="1:14" ht="12.75">
      <c r="A51" s="100" t="s">
        <v>46</v>
      </c>
      <c r="B51" s="179"/>
      <c r="C51" s="20"/>
      <c r="D51" s="180"/>
      <c r="E51" s="180"/>
      <c r="F51" s="20"/>
      <c r="G51" s="101"/>
      <c r="H51" s="20"/>
      <c r="I51" s="182"/>
      <c r="J51" s="20"/>
      <c r="K51" s="136"/>
      <c r="L51" s="20"/>
      <c r="M51" s="20"/>
      <c r="N51" s="33"/>
    </row>
    <row r="52" spans="1:14" ht="15" thickBot="1">
      <c r="A52" s="5"/>
      <c r="B52" s="25" t="s">
        <v>12</v>
      </c>
      <c r="C52" s="6"/>
      <c r="D52" s="126" t="s">
        <v>48</v>
      </c>
      <c r="E52" s="126" t="s">
        <v>54</v>
      </c>
      <c r="F52" s="6"/>
      <c r="G52" s="6"/>
      <c r="H52" s="6"/>
      <c r="I52" s="25" t="s">
        <v>14</v>
      </c>
      <c r="J52" s="6"/>
      <c r="K52" s="6"/>
      <c r="L52" s="6"/>
      <c r="M52" s="6"/>
      <c r="N52" s="7"/>
    </row>
  </sheetData>
  <sheetProtection password="C448" sheet="1" objects="1" scenarios="1"/>
  <mergeCells count="7">
    <mergeCell ref="A1:N1"/>
    <mergeCell ref="B4:I4"/>
    <mergeCell ref="B6:I6"/>
    <mergeCell ref="B8:I8"/>
    <mergeCell ref="L4:M4"/>
    <mergeCell ref="L6:M6"/>
    <mergeCell ref="L8:M8"/>
  </mergeCells>
  <conditionalFormatting sqref="D18 D21:D50">
    <cfRule type="expression" priority="1" dxfId="0" stopIfTrue="1">
      <formula>$B$21*$C$21</formula>
    </cfRule>
    <cfRule type="cellIs" priority="2" dxfId="0" operator="equal" stopIfTrue="1">
      <formula>$B$21*$C$21</formula>
    </cfRule>
  </conditionalFormatting>
  <conditionalFormatting sqref="H18 H21:H50">
    <cfRule type="expression" priority="3" dxfId="0" stopIfTrue="1">
      <formula>I18&gt;120</formula>
    </cfRule>
  </conditionalFormatting>
  <conditionalFormatting sqref="B21:B50">
    <cfRule type="expression" priority="4" dxfId="0" stopIfTrue="1">
      <formula>I21&gt;120</formula>
    </cfRule>
  </conditionalFormatting>
  <dataValidations count="7">
    <dataValidation type="list" allowBlank="1" showErrorMessage="1" promptTitle="Beskyttet Celle" prompt="&#10;Ingen indtastning." errorTitle="Beskyttet celle" sqref="D14">
      <formula1>"0,30,0,25"</formula1>
    </dataValidation>
    <dataValidation type="list" allowBlank="1" showInputMessage="1" showErrorMessage="1" sqref="D12">
      <formula1>"45,46,47,48,49,50,51,52,53,54,55"</formula1>
    </dataValidation>
    <dataValidation type="list" allowBlank="1" showInputMessage="1" showErrorMessage="1" sqref="H13">
      <formula1>"20"</formula1>
    </dataValidation>
    <dataValidation type="list" allowBlank="1" showDropDown="1" showInputMessage="1" showErrorMessage="1" sqref="F13">
      <formula1>"G53:G54"</formula1>
    </dataValidation>
    <dataValidation type="list" allowBlank="1" showInputMessage="1" showErrorMessage="1" sqref="D13">
      <formula1>"3,4,5,6,7,8,9,10"</formula1>
    </dataValidation>
    <dataValidation type="decimal" operator="equal" allowBlank="1" showInputMessage="1" showErrorMessage="1" promptTitle="Ingen indtastning." errorTitle="Beskyttet celle" sqref="D21:D50">
      <formula1>IF(B21="","",B21*C21)</formula1>
    </dataValidation>
    <dataValidation type="decimal" operator="equal" allowBlank="1" showInputMessage="1" showErrorMessage="1" promptTitle="Ingen indtastning." errorTitle="Beskyttet celle." sqref="E21:E50">
      <formula1>IF(B21="","",D21*0.86/$D$13)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360" verticalDpi="360" orientation="portrait" scale="79" r:id="rId5"/>
  <drawing r:id="rId4"/>
  <legacyDrawing r:id="rId3"/>
  <oleObjects>
    <oleObject progId="MSPhotoEd.3" shapeId="19103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Y52"/>
  <sheetViews>
    <sheetView zoomScale="123" zoomScaleNormal="123" zoomScalePageLayoutView="0" workbookViewId="0" topLeftCell="A1">
      <selection activeCell="H21" sqref="H21"/>
    </sheetView>
  </sheetViews>
  <sheetFormatPr defaultColWidth="9.140625" defaultRowHeight="12.75"/>
  <cols>
    <col min="1" max="1" width="13.7109375" style="1" customWidth="1"/>
    <col min="2" max="2" width="6.8515625" style="1" customWidth="1"/>
    <col min="3" max="3" width="8.00390625" style="1" customWidth="1"/>
    <col min="4" max="4" width="7.57421875" style="85" customWidth="1"/>
    <col min="5" max="5" width="6.28125" style="85" customWidth="1"/>
    <col min="6" max="6" width="6.00390625" style="1" customWidth="1"/>
    <col min="7" max="7" width="8.140625" style="1" customWidth="1"/>
    <col min="8" max="8" width="8.7109375" style="1" customWidth="1"/>
    <col min="9" max="9" width="8.28125" style="1" customWidth="1"/>
    <col min="10" max="10" width="5.57421875" style="1" customWidth="1"/>
    <col min="11" max="11" width="8.28125" style="1" customWidth="1"/>
    <col min="12" max="12" width="9.140625" style="1" customWidth="1"/>
    <col min="13" max="13" width="8.7109375" style="1" customWidth="1"/>
    <col min="14" max="14" width="7.57421875" style="1" customWidth="1"/>
    <col min="15" max="15" width="3.28125" style="0" hidden="1" customWidth="1"/>
    <col min="16" max="16" width="0" style="1" hidden="1" customWidth="1"/>
    <col min="17" max="17" width="10.7109375" style="1" hidden="1" customWidth="1"/>
    <col min="18" max="18" width="3.28125" style="0" hidden="1" customWidth="1"/>
    <col min="19" max="19" width="6.7109375" style="91" hidden="1" customWidth="1"/>
    <col min="20" max="20" width="5.7109375" style="91" hidden="1" customWidth="1"/>
    <col min="21" max="21" width="3.28125" style="0" hidden="1" customWidth="1"/>
    <col min="22" max="22" width="0" style="74" hidden="1" customWidth="1"/>
    <col min="23" max="23" width="3.00390625" style="86" hidden="1" customWidth="1"/>
    <col min="24" max="24" width="0" style="1" hidden="1" customWidth="1"/>
    <col min="25" max="25" width="14.8515625" style="85" hidden="1" customWidth="1"/>
    <col min="26" max="26" width="0" style="1" hidden="1" customWidth="1"/>
    <col min="27" max="16384" width="9.140625" style="1" customWidth="1"/>
  </cols>
  <sheetData>
    <row r="1" spans="1:25" s="210" customFormat="1" ht="72" customHeight="1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209"/>
      <c r="R1" s="209"/>
      <c r="S1" s="211"/>
      <c r="T1" s="211"/>
      <c r="U1" s="209"/>
      <c r="V1" s="212"/>
      <c r="W1" s="213"/>
      <c r="Y1" s="214"/>
    </row>
    <row r="2" spans="1:14" ht="18.75" customHeight="1">
      <c r="A2" s="215" t="s">
        <v>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29.25" customHeight="1">
      <c r="A3" s="38"/>
      <c r="B3" s="21"/>
      <c r="C3" s="21"/>
      <c r="D3" s="80"/>
      <c r="E3" s="80"/>
      <c r="F3" s="21"/>
      <c r="G3" s="21"/>
      <c r="H3" s="21"/>
      <c r="I3" s="21"/>
      <c r="J3" s="21"/>
      <c r="K3" s="21"/>
      <c r="L3" s="21"/>
      <c r="M3" s="21"/>
      <c r="N3" s="18"/>
    </row>
    <row r="4" spans="1:23" ht="12.75">
      <c r="A4" s="51" t="s">
        <v>39</v>
      </c>
      <c r="B4" s="232"/>
      <c r="C4" s="233"/>
      <c r="D4" s="233"/>
      <c r="E4" s="233"/>
      <c r="F4" s="233"/>
      <c r="G4" s="233"/>
      <c r="H4" s="233"/>
      <c r="I4" s="233"/>
      <c r="J4" s="35"/>
      <c r="K4" s="52" t="s">
        <v>42</v>
      </c>
      <c r="L4" s="232"/>
      <c r="M4" s="233"/>
      <c r="N4" s="18"/>
      <c r="V4" s="75"/>
      <c r="W4" s="87"/>
    </row>
    <row r="5" spans="1:23" ht="12.75">
      <c r="A5" s="38"/>
      <c r="B5" s="21"/>
      <c r="C5" s="21"/>
      <c r="D5" s="80"/>
      <c r="E5" s="80"/>
      <c r="F5" s="21"/>
      <c r="G5" s="21"/>
      <c r="H5" s="21"/>
      <c r="I5" s="21"/>
      <c r="J5" s="21"/>
      <c r="K5" s="21"/>
      <c r="L5" s="21"/>
      <c r="M5" s="21"/>
      <c r="N5" s="18"/>
      <c r="V5" s="75"/>
      <c r="W5" s="87"/>
    </row>
    <row r="6" spans="1:23" ht="12.75">
      <c r="A6" s="51" t="s">
        <v>40</v>
      </c>
      <c r="B6" s="232"/>
      <c r="C6" s="233"/>
      <c r="D6" s="233"/>
      <c r="E6" s="233"/>
      <c r="F6" s="233"/>
      <c r="G6" s="233"/>
      <c r="H6" s="233"/>
      <c r="I6" s="233"/>
      <c r="J6" s="21"/>
      <c r="K6" s="52" t="s">
        <v>43</v>
      </c>
      <c r="L6" s="232"/>
      <c r="M6" s="233"/>
      <c r="N6" s="18"/>
      <c r="V6" s="75"/>
      <c r="W6" s="87"/>
    </row>
    <row r="7" spans="1:23" ht="12.75">
      <c r="A7" s="38"/>
      <c r="B7" s="21"/>
      <c r="C7" s="21"/>
      <c r="D7" s="80"/>
      <c r="E7" s="80"/>
      <c r="F7" s="21"/>
      <c r="G7" s="21"/>
      <c r="H7" s="21"/>
      <c r="I7" s="21"/>
      <c r="J7" s="21"/>
      <c r="K7" s="21"/>
      <c r="L7" s="21"/>
      <c r="M7" s="21"/>
      <c r="N7" s="18"/>
      <c r="V7" s="75"/>
      <c r="W7" s="87"/>
    </row>
    <row r="8" spans="1:23" ht="12.75">
      <c r="A8" s="51" t="s">
        <v>41</v>
      </c>
      <c r="B8" s="232"/>
      <c r="C8" s="233"/>
      <c r="D8" s="233"/>
      <c r="E8" s="233"/>
      <c r="F8" s="233"/>
      <c r="G8" s="233"/>
      <c r="H8" s="233"/>
      <c r="I8" s="233"/>
      <c r="J8" s="21"/>
      <c r="K8" s="52" t="s">
        <v>47</v>
      </c>
      <c r="L8" s="234"/>
      <c r="M8" s="235"/>
      <c r="N8" s="18"/>
      <c r="V8" s="75"/>
      <c r="W8" s="87"/>
    </row>
    <row r="9" spans="1:23" ht="12.75">
      <c r="A9" s="38"/>
      <c r="B9" s="45"/>
      <c r="C9" s="45"/>
      <c r="D9" s="80"/>
      <c r="E9" s="80"/>
      <c r="F9" s="21"/>
      <c r="G9" s="21"/>
      <c r="H9" s="21"/>
      <c r="I9" s="21"/>
      <c r="J9" s="21"/>
      <c r="K9" s="21"/>
      <c r="L9" s="21"/>
      <c r="M9" s="21"/>
      <c r="N9" s="18"/>
      <c r="V9" s="75"/>
      <c r="W9" s="87"/>
    </row>
    <row r="10" spans="1:23" ht="13.5" thickBot="1">
      <c r="A10" s="5"/>
      <c r="B10" s="46"/>
      <c r="C10" s="46"/>
      <c r="D10" s="81"/>
      <c r="E10" s="81"/>
      <c r="F10" s="6"/>
      <c r="G10" s="6"/>
      <c r="H10" s="6"/>
      <c r="I10" s="6"/>
      <c r="J10" s="6"/>
      <c r="K10" s="6"/>
      <c r="L10" s="6"/>
      <c r="M10" s="6"/>
      <c r="N10" s="7"/>
      <c r="V10" s="75"/>
      <c r="W10" s="87"/>
    </row>
    <row r="11" spans="1:23" ht="13.5" thickBot="1">
      <c r="A11" s="88"/>
      <c r="B11" s="41" t="s">
        <v>32</v>
      </c>
      <c r="C11" s="42"/>
      <c r="D11" s="82"/>
      <c r="E11" s="82"/>
      <c r="F11" s="21"/>
      <c r="G11" s="21"/>
      <c r="H11" s="21"/>
      <c r="I11" s="21"/>
      <c r="J11" s="18"/>
      <c r="K11" s="42" t="s">
        <v>31</v>
      </c>
      <c r="L11" s="43"/>
      <c r="M11" s="43"/>
      <c r="N11" s="44"/>
      <c r="V11" s="75"/>
      <c r="W11" s="87"/>
    </row>
    <row r="12" spans="1:23" ht="15" thickBot="1">
      <c r="A12" s="88"/>
      <c r="B12" s="9" t="s">
        <v>18</v>
      </c>
      <c r="C12" s="21"/>
      <c r="D12" s="115">
        <v>50</v>
      </c>
      <c r="E12" s="80" t="s">
        <v>55</v>
      </c>
      <c r="F12" s="50" t="s">
        <v>34</v>
      </c>
      <c r="G12" s="20"/>
      <c r="H12" s="20" t="s">
        <v>38</v>
      </c>
      <c r="I12" s="20"/>
      <c r="J12" s="33"/>
      <c r="K12" s="34" t="s">
        <v>30</v>
      </c>
      <c r="L12" s="22"/>
      <c r="M12" s="176">
        <v>0</v>
      </c>
      <c r="N12" s="23" t="s">
        <v>14</v>
      </c>
      <c r="V12" s="75"/>
      <c r="W12" s="87"/>
    </row>
    <row r="13" spans="1:23" ht="15" customHeight="1" thickBot="1">
      <c r="A13" s="88"/>
      <c r="B13" s="9" t="s">
        <v>19</v>
      </c>
      <c r="C13" s="21"/>
      <c r="D13" s="116">
        <v>5</v>
      </c>
      <c r="E13" s="80" t="s">
        <v>20</v>
      </c>
      <c r="F13" s="132" t="s">
        <v>44</v>
      </c>
      <c r="G13" s="130"/>
      <c r="H13" s="131">
        <v>20</v>
      </c>
      <c r="I13" s="21" t="s">
        <v>33</v>
      </c>
      <c r="J13" s="18"/>
      <c r="K13" s="35" t="s">
        <v>50</v>
      </c>
      <c r="L13" s="18"/>
      <c r="M13" s="177">
        <v>0</v>
      </c>
      <c r="N13" s="24" t="s">
        <v>57</v>
      </c>
      <c r="V13" s="75"/>
      <c r="W13" s="87"/>
    </row>
    <row r="14" spans="1:25" ht="13.5" thickBot="1">
      <c r="A14" s="89"/>
      <c r="B14" s="19" t="s">
        <v>35</v>
      </c>
      <c r="C14" s="6"/>
      <c r="D14" s="117">
        <v>0.25</v>
      </c>
      <c r="E14" s="81" t="s">
        <v>14</v>
      </c>
      <c r="F14" s="19"/>
      <c r="G14" s="6"/>
      <c r="H14" s="6"/>
      <c r="I14" s="6"/>
      <c r="J14" s="37"/>
      <c r="K14" s="36" t="s">
        <v>51</v>
      </c>
      <c r="L14" s="7"/>
      <c r="M14" s="178">
        <v>0</v>
      </c>
      <c r="N14" s="25" t="s">
        <v>13</v>
      </c>
      <c r="V14" s="76"/>
      <c r="W14" s="87"/>
      <c r="Y14" s="87"/>
    </row>
    <row r="15" spans="1:14" ht="12.75" hidden="1">
      <c r="A15" s="26"/>
      <c r="B15" s="27"/>
      <c r="C15" s="27"/>
      <c r="D15" s="83"/>
      <c r="E15" s="83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12.75" hidden="1">
      <c r="A16" s="26"/>
      <c r="B16" s="27"/>
      <c r="C16" s="27"/>
      <c r="D16" s="83"/>
      <c r="E16" s="83"/>
      <c r="F16" s="27"/>
      <c r="G16" s="27"/>
      <c r="H16" s="27"/>
      <c r="I16" s="29"/>
      <c r="J16" s="27"/>
      <c r="K16" s="48">
        <f>IF($B$51=0,"",LARGE(K21:K50,1))</f>
      </c>
      <c r="L16" s="47">
        <f>IF($B$51=0,"",$E$16/1000/1.342*$E$16/1000/1.342*10)</f>
      </c>
      <c r="M16" s="48">
        <f>IF($B$51=0,"",$K$16+$L$16)</f>
      </c>
      <c r="N16" s="28"/>
    </row>
    <row r="17" spans="1:14" ht="12.75" hidden="1">
      <c r="A17" s="26"/>
      <c r="B17" s="27"/>
      <c r="C17" s="27"/>
      <c r="D17" s="83"/>
      <c r="E17" s="83"/>
      <c r="F17" s="27"/>
      <c r="G17" s="27"/>
      <c r="H17" s="27"/>
      <c r="I17" s="27"/>
      <c r="J17" s="30"/>
      <c r="K17" s="27"/>
      <c r="L17" s="27"/>
      <c r="M17" s="27"/>
      <c r="N17" s="28"/>
    </row>
    <row r="18" spans="1:25" ht="13.5" hidden="1" thickBot="1">
      <c r="A18" s="26"/>
      <c r="B18" s="39"/>
      <c r="C18" s="54"/>
      <c r="D18" s="69"/>
      <c r="E18" s="69"/>
      <c r="F18" s="55"/>
      <c r="G18" s="56"/>
      <c r="H18" s="54"/>
      <c r="I18" s="57"/>
      <c r="J18" s="58"/>
      <c r="K18" s="59"/>
      <c r="L18" s="60"/>
      <c r="M18" s="61"/>
      <c r="N18" s="62"/>
      <c r="V18" s="77">
        <f>IF(B18="","",INDEX($S$23:$S$32,MATCH(E18,$T$23:$T$31,-1)))</f>
      </c>
      <c r="Y18" s="87"/>
    </row>
    <row r="19" spans="1:22" ht="13.5" thickBot="1">
      <c r="A19" s="2" t="s">
        <v>0</v>
      </c>
      <c r="B19" s="3" t="s">
        <v>1</v>
      </c>
      <c r="C19" s="3" t="s">
        <v>2</v>
      </c>
      <c r="D19" s="84" t="s">
        <v>3</v>
      </c>
      <c r="E19" s="84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23</v>
      </c>
      <c r="K19" s="3" t="s">
        <v>9</v>
      </c>
      <c r="L19" s="3" t="s">
        <v>10</v>
      </c>
      <c r="M19" s="3" t="s">
        <v>11</v>
      </c>
      <c r="N19" s="4" t="s">
        <v>17</v>
      </c>
      <c r="P19" s="2" t="s">
        <v>24</v>
      </c>
      <c r="Q19" s="4" t="s">
        <v>25</v>
      </c>
      <c r="S19" s="96" t="s">
        <v>27</v>
      </c>
      <c r="T19" s="92" t="s">
        <v>28</v>
      </c>
      <c r="V19" s="78" t="s">
        <v>29</v>
      </c>
    </row>
    <row r="20" spans="1:24" ht="15" thickBot="1">
      <c r="A20" s="5"/>
      <c r="B20" s="6" t="s">
        <v>12</v>
      </c>
      <c r="C20" s="6" t="s">
        <v>49</v>
      </c>
      <c r="D20" s="81" t="s">
        <v>48</v>
      </c>
      <c r="E20" s="81" t="s">
        <v>13</v>
      </c>
      <c r="F20" s="6" t="s">
        <v>14</v>
      </c>
      <c r="G20" s="6" t="s">
        <v>14</v>
      </c>
      <c r="H20" s="81" t="s">
        <v>14</v>
      </c>
      <c r="I20" s="81" t="s">
        <v>14</v>
      </c>
      <c r="J20" s="68"/>
      <c r="K20" s="6" t="s">
        <v>57</v>
      </c>
      <c r="L20" s="6" t="s">
        <v>57</v>
      </c>
      <c r="M20" s="6" t="s">
        <v>56</v>
      </c>
      <c r="N20" s="7" t="s">
        <v>15</v>
      </c>
      <c r="P20" s="5" t="s">
        <v>15</v>
      </c>
      <c r="Q20" s="7" t="s">
        <v>37</v>
      </c>
      <c r="S20" s="97" t="s">
        <v>26</v>
      </c>
      <c r="T20" s="93" t="s">
        <v>13</v>
      </c>
      <c r="V20" s="79" t="s">
        <v>53</v>
      </c>
      <c r="X20" s="23" t="s">
        <v>52</v>
      </c>
    </row>
    <row r="21" spans="1:24" ht="51">
      <c r="A21" s="118"/>
      <c r="B21" s="119"/>
      <c r="C21" s="123"/>
      <c r="D21" s="102"/>
      <c r="E21" s="104"/>
      <c r="F21" s="127"/>
      <c r="G21" s="106"/>
      <c r="H21" s="123"/>
      <c r="I21" s="106"/>
      <c r="J21" s="63"/>
      <c r="K21" s="64"/>
      <c r="L21" s="65"/>
      <c r="M21" s="66"/>
      <c r="N21" s="67"/>
      <c r="P21" s="16" t="s">
        <v>16</v>
      </c>
      <c r="Q21" s="17">
        <v>1.35</v>
      </c>
      <c r="S21" s="90">
        <v>8</v>
      </c>
      <c r="T21" s="94">
        <v>720</v>
      </c>
      <c r="V21" s="77">
        <f>IF(B21="","",INDEX($S$21:$S$32,MATCH(E21,$T$21:$T$31,-1)))</f>
      </c>
      <c r="X21" s="49" t="s">
        <v>44</v>
      </c>
    </row>
    <row r="22" spans="1:24" ht="90" thickBot="1">
      <c r="A22" s="120"/>
      <c r="B22" s="119"/>
      <c r="C22" s="123"/>
      <c r="D22" s="102"/>
      <c r="E22" s="104"/>
      <c r="F22" s="127"/>
      <c r="G22" s="107"/>
      <c r="H22" s="123"/>
      <c r="I22" s="107"/>
      <c r="J22" s="11"/>
      <c r="K22" s="53"/>
      <c r="L22" s="8"/>
      <c r="M22" s="13"/>
      <c r="N22" s="14"/>
      <c r="P22" s="15">
        <v>5</v>
      </c>
      <c r="Q22" s="12">
        <v>1.225</v>
      </c>
      <c r="S22" s="90">
        <v>7.6</v>
      </c>
      <c r="T22" s="94">
        <v>540</v>
      </c>
      <c r="V22" s="77">
        <f aca="true" t="shared" si="0" ref="V22:V50">IF(B22="","",INDEX($S$21:$S$32,MATCH(E22,$T$21:$T$31,-1)))</f>
      </c>
      <c r="X22" s="40" t="s">
        <v>45</v>
      </c>
    </row>
    <row r="23" spans="1:22" ht="12.75">
      <c r="A23" s="120"/>
      <c r="B23" s="119"/>
      <c r="C23" s="123"/>
      <c r="D23" s="103"/>
      <c r="E23" s="105"/>
      <c r="F23" s="127"/>
      <c r="G23" s="107"/>
      <c r="H23" s="123"/>
      <c r="I23" s="107"/>
      <c r="J23" s="11"/>
      <c r="K23" s="53"/>
      <c r="L23" s="8"/>
      <c r="M23" s="13"/>
      <c r="N23" s="14"/>
      <c r="P23" s="15">
        <v>4</v>
      </c>
      <c r="Q23" s="12">
        <v>0.802</v>
      </c>
      <c r="S23" s="98">
        <v>7.5</v>
      </c>
      <c r="T23" s="95">
        <v>360</v>
      </c>
      <c r="V23" s="77">
        <f t="shared" si="0"/>
      </c>
    </row>
    <row r="24" spans="1:22" ht="12.75">
      <c r="A24" s="120"/>
      <c r="B24" s="119"/>
      <c r="C24" s="123"/>
      <c r="D24" s="103"/>
      <c r="E24" s="105"/>
      <c r="F24" s="127"/>
      <c r="G24" s="107"/>
      <c r="H24" s="123"/>
      <c r="I24" s="107"/>
      <c r="J24" s="11"/>
      <c r="K24" s="53"/>
      <c r="L24" s="8"/>
      <c r="M24" s="13"/>
      <c r="N24" s="14"/>
      <c r="P24" s="15">
        <v>3</v>
      </c>
      <c r="Q24" s="12">
        <v>0.522</v>
      </c>
      <c r="S24" s="90">
        <v>7.3</v>
      </c>
      <c r="T24" s="94">
        <v>324</v>
      </c>
      <c r="V24" s="77">
        <f t="shared" si="0"/>
      </c>
    </row>
    <row r="25" spans="1:22" ht="12.75">
      <c r="A25" s="120"/>
      <c r="B25" s="119"/>
      <c r="C25" s="123"/>
      <c r="D25" s="103"/>
      <c r="E25" s="105"/>
      <c r="F25" s="127"/>
      <c r="G25" s="107"/>
      <c r="H25" s="123"/>
      <c r="I25" s="107"/>
      <c r="J25" s="11"/>
      <c r="K25" s="53"/>
      <c r="L25" s="8"/>
      <c r="M25" s="13"/>
      <c r="N25" s="14"/>
      <c r="P25" s="15">
        <v>2.5</v>
      </c>
      <c r="Q25" s="12">
        <v>0.387</v>
      </c>
      <c r="S25" s="90">
        <v>7.2</v>
      </c>
      <c r="T25" s="94">
        <v>288</v>
      </c>
      <c r="V25" s="77">
        <f t="shared" si="0"/>
      </c>
    </row>
    <row r="26" spans="1:22" ht="12.75">
      <c r="A26" s="120"/>
      <c r="B26" s="119"/>
      <c r="C26" s="123"/>
      <c r="D26" s="103"/>
      <c r="E26" s="105"/>
      <c r="F26" s="127"/>
      <c r="G26" s="107"/>
      <c r="H26" s="123"/>
      <c r="I26" s="107"/>
      <c r="J26" s="11"/>
      <c r="K26" s="53"/>
      <c r="L26" s="8"/>
      <c r="M26" s="13"/>
      <c r="N26" s="14"/>
      <c r="P26" s="15">
        <v>2</v>
      </c>
      <c r="Q26" s="12">
        <v>0.283</v>
      </c>
      <c r="S26" s="90">
        <v>7.1</v>
      </c>
      <c r="T26" s="94">
        <v>257</v>
      </c>
      <c r="V26" s="77">
        <f t="shared" si="0"/>
      </c>
    </row>
    <row r="27" spans="1:22" ht="12.75">
      <c r="A27" s="120"/>
      <c r="B27" s="119"/>
      <c r="C27" s="123"/>
      <c r="D27" s="103"/>
      <c r="E27" s="105"/>
      <c r="F27" s="127"/>
      <c r="G27" s="107"/>
      <c r="H27" s="123"/>
      <c r="I27" s="107"/>
      <c r="J27" s="11"/>
      <c r="K27" s="53"/>
      <c r="L27" s="8"/>
      <c r="M27" s="13"/>
      <c r="N27" s="14"/>
      <c r="P27" s="15">
        <v>1.5</v>
      </c>
      <c r="Q27" s="12">
        <v>0.207</v>
      </c>
      <c r="S27" s="90">
        <v>6.8</v>
      </c>
      <c r="T27" s="94">
        <v>216</v>
      </c>
      <c r="V27" s="77">
        <f t="shared" si="0"/>
      </c>
    </row>
    <row r="28" spans="1:22" ht="12.75">
      <c r="A28" s="120"/>
      <c r="B28" s="119"/>
      <c r="C28" s="123"/>
      <c r="D28" s="103"/>
      <c r="E28" s="105"/>
      <c r="F28" s="127"/>
      <c r="G28" s="107"/>
      <c r="H28" s="123"/>
      <c r="I28" s="107"/>
      <c r="J28" s="11"/>
      <c r="K28" s="53"/>
      <c r="L28" s="8"/>
      <c r="M28" s="13"/>
      <c r="N28" s="14"/>
      <c r="P28" s="15">
        <v>1</v>
      </c>
      <c r="Q28" s="12">
        <v>0.169</v>
      </c>
      <c r="S28" s="90">
        <v>6.7</v>
      </c>
      <c r="T28" s="94">
        <v>180</v>
      </c>
      <c r="V28" s="77">
        <f t="shared" si="0"/>
      </c>
    </row>
    <row r="29" spans="1:22" ht="12.75">
      <c r="A29" s="120"/>
      <c r="B29" s="121"/>
      <c r="C29" s="123"/>
      <c r="D29" s="103"/>
      <c r="E29" s="105"/>
      <c r="F29" s="127"/>
      <c r="G29" s="107"/>
      <c r="H29" s="123"/>
      <c r="I29" s="107"/>
      <c r="J29" s="11"/>
      <c r="K29" s="53"/>
      <c r="L29" s="8"/>
      <c r="M29" s="13"/>
      <c r="N29" s="14"/>
      <c r="P29" s="15">
        <v>0.75</v>
      </c>
      <c r="Q29" s="12">
        <v>0.152</v>
      </c>
      <c r="S29" s="90">
        <v>6.5</v>
      </c>
      <c r="T29" s="94">
        <v>144</v>
      </c>
      <c r="V29" s="77">
        <f t="shared" si="0"/>
      </c>
    </row>
    <row r="30" spans="1:22" ht="12.75">
      <c r="A30" s="120"/>
      <c r="B30" s="121"/>
      <c r="C30" s="123"/>
      <c r="D30" s="103"/>
      <c r="E30" s="105"/>
      <c r="F30" s="127"/>
      <c r="G30" s="107"/>
      <c r="H30" s="123"/>
      <c r="I30" s="107"/>
      <c r="J30" s="11"/>
      <c r="K30" s="53"/>
      <c r="L30" s="8"/>
      <c r="M30" s="13"/>
      <c r="N30" s="14"/>
      <c r="P30" s="15">
        <v>0.5</v>
      </c>
      <c r="Q30" s="12">
        <v>0.095</v>
      </c>
      <c r="S30" s="90">
        <v>6.3</v>
      </c>
      <c r="T30" s="94">
        <v>108</v>
      </c>
      <c r="V30" s="77">
        <f t="shared" si="0"/>
      </c>
    </row>
    <row r="31" spans="1:23" ht="12.75">
      <c r="A31" s="120"/>
      <c r="B31" s="121"/>
      <c r="C31" s="123"/>
      <c r="D31" s="103"/>
      <c r="E31" s="105"/>
      <c r="F31" s="127"/>
      <c r="G31" s="107"/>
      <c r="H31" s="123"/>
      <c r="I31" s="107"/>
      <c r="J31" s="11"/>
      <c r="K31" s="53"/>
      <c r="L31" s="8"/>
      <c r="M31" s="13"/>
      <c r="N31" s="14"/>
      <c r="P31" s="15">
        <v>0.25</v>
      </c>
      <c r="Q31" s="12">
        <v>0.063</v>
      </c>
      <c r="S31" s="90">
        <v>6.2</v>
      </c>
      <c r="T31" s="94">
        <v>72</v>
      </c>
      <c r="V31" s="77">
        <f t="shared" si="0"/>
      </c>
      <c r="W31" s="85"/>
    </row>
    <row r="32" spans="1:22" ht="12.75">
      <c r="A32" s="120"/>
      <c r="B32" s="121"/>
      <c r="C32" s="123"/>
      <c r="D32" s="103"/>
      <c r="E32" s="105"/>
      <c r="F32" s="127"/>
      <c r="G32" s="107"/>
      <c r="H32" s="123"/>
      <c r="I32" s="107"/>
      <c r="J32" s="11"/>
      <c r="K32" s="53"/>
      <c r="L32" s="8"/>
      <c r="M32" s="13"/>
      <c r="N32" s="14"/>
      <c r="Q32" s="10"/>
      <c r="S32" s="90">
        <v>5.7</v>
      </c>
      <c r="T32" s="94">
        <v>32</v>
      </c>
      <c r="V32" s="77">
        <f t="shared" si="0"/>
      </c>
    </row>
    <row r="33" spans="1:22" ht="12.75">
      <c r="A33" s="120"/>
      <c r="B33" s="121"/>
      <c r="C33" s="123"/>
      <c r="D33" s="103"/>
      <c r="E33" s="105"/>
      <c r="F33" s="127"/>
      <c r="G33" s="107"/>
      <c r="H33" s="123"/>
      <c r="I33" s="107"/>
      <c r="J33" s="11"/>
      <c r="K33" s="53"/>
      <c r="L33" s="8"/>
      <c r="M33" s="13"/>
      <c r="N33" s="14"/>
      <c r="Q33" s="10"/>
      <c r="V33" s="77">
        <f t="shared" si="0"/>
      </c>
    </row>
    <row r="34" spans="1:22" ht="12.75">
      <c r="A34" s="120"/>
      <c r="B34" s="121"/>
      <c r="C34" s="123"/>
      <c r="D34" s="103"/>
      <c r="E34" s="105"/>
      <c r="F34" s="127"/>
      <c r="G34" s="107"/>
      <c r="H34" s="123"/>
      <c r="I34" s="107"/>
      <c r="J34" s="11"/>
      <c r="K34" s="53"/>
      <c r="L34" s="8"/>
      <c r="M34" s="13"/>
      <c r="N34" s="14"/>
      <c r="V34" s="77">
        <f t="shared" si="0"/>
      </c>
    </row>
    <row r="35" spans="1:22" ht="12.75">
      <c r="A35" s="120"/>
      <c r="B35" s="121"/>
      <c r="C35" s="123"/>
      <c r="D35" s="103"/>
      <c r="E35" s="105"/>
      <c r="F35" s="127"/>
      <c r="G35" s="107"/>
      <c r="H35" s="123"/>
      <c r="I35" s="107"/>
      <c r="J35" s="11"/>
      <c r="K35" s="53"/>
      <c r="L35" s="8"/>
      <c r="M35" s="13"/>
      <c r="N35" s="14"/>
      <c r="V35" s="77">
        <f t="shared" si="0"/>
      </c>
    </row>
    <row r="36" spans="1:22" ht="12.75">
      <c r="A36" s="120"/>
      <c r="B36" s="121"/>
      <c r="C36" s="123"/>
      <c r="D36" s="103"/>
      <c r="E36" s="105"/>
      <c r="F36" s="127"/>
      <c r="G36" s="107"/>
      <c r="H36" s="123"/>
      <c r="I36" s="107"/>
      <c r="J36" s="11"/>
      <c r="K36" s="53"/>
      <c r="L36" s="8"/>
      <c r="M36" s="13"/>
      <c r="N36" s="14"/>
      <c r="V36" s="77">
        <f t="shared" si="0"/>
      </c>
    </row>
    <row r="37" spans="1:22" ht="12.75">
      <c r="A37" s="120"/>
      <c r="B37" s="121"/>
      <c r="C37" s="123"/>
      <c r="D37" s="103"/>
      <c r="E37" s="105"/>
      <c r="F37" s="127"/>
      <c r="G37" s="107"/>
      <c r="H37" s="123"/>
      <c r="I37" s="107"/>
      <c r="J37" s="11"/>
      <c r="K37" s="53"/>
      <c r="L37" s="8"/>
      <c r="M37" s="13"/>
      <c r="N37" s="14"/>
      <c r="V37" s="77">
        <f t="shared" si="0"/>
      </c>
    </row>
    <row r="38" spans="1:22" ht="12.75">
      <c r="A38" s="120"/>
      <c r="B38" s="121"/>
      <c r="C38" s="123"/>
      <c r="D38" s="103"/>
      <c r="E38" s="105"/>
      <c r="F38" s="127"/>
      <c r="G38" s="107"/>
      <c r="H38" s="123"/>
      <c r="I38" s="107"/>
      <c r="J38" s="11"/>
      <c r="K38" s="53"/>
      <c r="L38" s="8"/>
      <c r="M38" s="13"/>
      <c r="N38" s="14"/>
      <c r="V38" s="77">
        <f t="shared" si="0"/>
      </c>
    </row>
    <row r="39" spans="1:22" ht="12.75">
      <c r="A39" s="120"/>
      <c r="B39" s="121"/>
      <c r="C39" s="123"/>
      <c r="D39" s="103"/>
      <c r="E39" s="105"/>
      <c r="F39" s="127"/>
      <c r="G39" s="107"/>
      <c r="H39" s="123"/>
      <c r="I39" s="107"/>
      <c r="J39" s="11"/>
      <c r="K39" s="53"/>
      <c r="L39" s="8"/>
      <c r="M39" s="13"/>
      <c r="N39" s="14"/>
      <c r="V39" s="77">
        <f t="shared" si="0"/>
      </c>
    </row>
    <row r="40" spans="1:22" ht="12.75">
      <c r="A40" s="120"/>
      <c r="B40" s="121"/>
      <c r="C40" s="123"/>
      <c r="D40" s="103"/>
      <c r="E40" s="105"/>
      <c r="F40" s="127"/>
      <c r="G40" s="107"/>
      <c r="H40" s="123"/>
      <c r="I40" s="107"/>
      <c r="J40" s="11"/>
      <c r="K40" s="53"/>
      <c r="L40" s="8"/>
      <c r="M40" s="13"/>
      <c r="N40" s="14"/>
      <c r="V40" s="77">
        <f t="shared" si="0"/>
      </c>
    </row>
    <row r="41" spans="1:25" ht="12.75">
      <c r="A41" s="120"/>
      <c r="B41" s="121"/>
      <c r="C41" s="123"/>
      <c r="D41" s="103"/>
      <c r="E41" s="105"/>
      <c r="F41" s="127"/>
      <c r="G41" s="107"/>
      <c r="H41" s="123"/>
      <c r="I41" s="107"/>
      <c r="J41" s="11"/>
      <c r="K41" s="53"/>
      <c r="L41" s="8"/>
      <c r="M41" s="13"/>
      <c r="N41" s="14"/>
      <c r="Q41" s="1"/>
      <c r="V41" s="77">
        <f t="shared" si="0"/>
      </c>
      <c r="W41" s="86"/>
      <c r="Y41" s="85"/>
    </row>
    <row r="42" spans="1:22" ht="12.75">
      <c r="A42" s="120"/>
      <c r="B42" s="121"/>
      <c r="C42" s="123"/>
      <c r="D42" s="103"/>
      <c r="E42" s="105"/>
      <c r="F42" s="127"/>
      <c r="G42" s="107"/>
      <c r="H42" s="123"/>
      <c r="I42" s="107"/>
      <c r="J42" s="11"/>
      <c r="K42" s="53"/>
      <c r="L42" s="8"/>
      <c r="M42" s="13"/>
      <c r="N42" s="14"/>
      <c r="V42" s="77">
        <f t="shared" si="0"/>
      </c>
    </row>
    <row r="43" spans="1:22" ht="12.75">
      <c r="A43" s="120"/>
      <c r="B43" s="121"/>
      <c r="C43" s="123"/>
      <c r="D43" s="103"/>
      <c r="E43" s="105"/>
      <c r="F43" s="127"/>
      <c r="G43" s="107"/>
      <c r="H43" s="123"/>
      <c r="I43" s="107"/>
      <c r="J43" s="11"/>
      <c r="K43" s="53"/>
      <c r="L43" s="8"/>
      <c r="M43" s="13"/>
      <c r="N43" s="14"/>
      <c r="V43" s="77">
        <f t="shared" si="0"/>
      </c>
    </row>
    <row r="44" spans="1:22" ht="12.75">
      <c r="A44" s="120"/>
      <c r="B44" s="121"/>
      <c r="C44" s="123"/>
      <c r="D44" s="103"/>
      <c r="E44" s="105"/>
      <c r="F44" s="127"/>
      <c r="G44" s="107"/>
      <c r="H44" s="123"/>
      <c r="I44" s="107"/>
      <c r="J44" s="11"/>
      <c r="K44" s="53"/>
      <c r="L44" s="8"/>
      <c r="M44" s="13"/>
      <c r="N44" s="14"/>
      <c r="V44" s="77">
        <f t="shared" si="0"/>
      </c>
    </row>
    <row r="45" spans="1:22" ht="12.75">
      <c r="A45" s="120"/>
      <c r="B45" s="121"/>
      <c r="C45" s="123"/>
      <c r="D45" s="103"/>
      <c r="E45" s="105"/>
      <c r="F45" s="127"/>
      <c r="G45" s="107"/>
      <c r="H45" s="123"/>
      <c r="I45" s="107"/>
      <c r="J45" s="11"/>
      <c r="K45" s="53"/>
      <c r="L45" s="8"/>
      <c r="M45" s="13"/>
      <c r="N45" s="14"/>
      <c r="V45" s="77">
        <f t="shared" si="0"/>
      </c>
    </row>
    <row r="46" spans="1:22" ht="12.75">
      <c r="A46" s="120"/>
      <c r="B46" s="121"/>
      <c r="C46" s="123"/>
      <c r="D46" s="103"/>
      <c r="E46" s="105"/>
      <c r="F46" s="127"/>
      <c r="G46" s="107"/>
      <c r="H46" s="123"/>
      <c r="I46" s="107"/>
      <c r="J46" s="11"/>
      <c r="K46" s="53"/>
      <c r="L46" s="8"/>
      <c r="M46" s="13"/>
      <c r="N46" s="14"/>
      <c r="Q46" s="10"/>
      <c r="V46" s="77">
        <f t="shared" si="0"/>
      </c>
    </row>
    <row r="47" spans="1:22" ht="12.75">
      <c r="A47" s="120"/>
      <c r="B47" s="121"/>
      <c r="C47" s="123"/>
      <c r="D47" s="103"/>
      <c r="E47" s="105"/>
      <c r="F47" s="127"/>
      <c r="G47" s="107"/>
      <c r="H47" s="123"/>
      <c r="I47" s="107"/>
      <c r="J47" s="11"/>
      <c r="K47" s="53"/>
      <c r="L47" s="8"/>
      <c r="M47" s="13"/>
      <c r="N47" s="14"/>
      <c r="Q47" s="10"/>
      <c r="V47" s="77">
        <f t="shared" si="0"/>
      </c>
    </row>
    <row r="48" spans="1:22" ht="12.75">
      <c r="A48" s="120"/>
      <c r="B48" s="121"/>
      <c r="C48" s="123"/>
      <c r="D48" s="103"/>
      <c r="E48" s="105"/>
      <c r="F48" s="127"/>
      <c r="G48" s="107"/>
      <c r="H48" s="123"/>
      <c r="I48" s="107"/>
      <c r="J48" s="11"/>
      <c r="K48" s="53"/>
      <c r="L48" s="8"/>
      <c r="M48" s="13"/>
      <c r="N48" s="14"/>
      <c r="Q48" s="10"/>
      <c r="V48" s="77">
        <f t="shared" si="0"/>
      </c>
    </row>
    <row r="49" spans="1:22" ht="12.75">
      <c r="A49" s="120"/>
      <c r="B49" s="121"/>
      <c r="C49" s="123"/>
      <c r="D49" s="103"/>
      <c r="E49" s="105"/>
      <c r="F49" s="127"/>
      <c r="G49" s="107"/>
      <c r="H49" s="123"/>
      <c r="I49" s="107"/>
      <c r="J49" s="11"/>
      <c r="K49" s="53"/>
      <c r="L49" s="8"/>
      <c r="M49" s="13"/>
      <c r="N49" s="14"/>
      <c r="Q49" s="10"/>
      <c r="V49" s="77">
        <f t="shared" si="0"/>
      </c>
    </row>
    <row r="50" spans="1:22" ht="13.5" thickBot="1">
      <c r="A50" s="122"/>
      <c r="B50" s="183"/>
      <c r="C50" s="123"/>
      <c r="D50" s="102"/>
      <c r="E50" s="135"/>
      <c r="F50" s="127"/>
      <c r="G50" s="108"/>
      <c r="H50" s="123"/>
      <c r="I50" s="108"/>
      <c r="J50" s="31"/>
      <c r="K50" s="70"/>
      <c r="L50" s="32"/>
      <c r="M50" s="71"/>
      <c r="N50" s="72"/>
      <c r="Q50" s="10"/>
      <c r="V50" s="77">
        <f t="shared" si="0"/>
      </c>
    </row>
    <row r="51" spans="1:14" ht="12.75">
      <c r="A51" s="124" t="s">
        <v>46</v>
      </c>
      <c r="B51" s="185"/>
      <c r="C51" s="184"/>
      <c r="D51" s="180"/>
      <c r="E51" s="180"/>
      <c r="F51" s="20"/>
      <c r="G51" s="101"/>
      <c r="H51" s="20"/>
      <c r="I51" s="180"/>
      <c r="J51" s="21"/>
      <c r="K51" s="73"/>
      <c r="L51" s="21"/>
      <c r="M51" s="21"/>
      <c r="N51" s="18"/>
    </row>
    <row r="52" spans="1:14" ht="15" thickBot="1">
      <c r="A52" s="125"/>
      <c r="B52" s="126" t="s">
        <v>12</v>
      </c>
      <c r="C52" s="81"/>
      <c r="D52" s="126" t="s">
        <v>48</v>
      </c>
      <c r="E52" s="126" t="s">
        <v>54</v>
      </c>
      <c r="F52" s="6"/>
      <c r="G52" s="6"/>
      <c r="H52" s="6"/>
      <c r="I52" s="25" t="s">
        <v>14</v>
      </c>
      <c r="J52" s="6"/>
      <c r="K52" s="6"/>
      <c r="L52" s="6"/>
      <c r="M52" s="6"/>
      <c r="N52" s="7"/>
    </row>
  </sheetData>
  <sheetProtection password="C448" sheet="1" objects="1" scenarios="1"/>
  <mergeCells count="7">
    <mergeCell ref="A1:N1"/>
    <mergeCell ref="B4:I4"/>
    <mergeCell ref="B6:I6"/>
    <mergeCell ref="B8:I8"/>
    <mergeCell ref="L4:M4"/>
    <mergeCell ref="L6:M6"/>
    <mergeCell ref="L8:M8"/>
  </mergeCells>
  <conditionalFormatting sqref="D18 D21:D50">
    <cfRule type="expression" priority="1" dxfId="0" stopIfTrue="1">
      <formula>$B$21*$C$21</formula>
    </cfRule>
    <cfRule type="cellIs" priority="2" dxfId="0" operator="equal" stopIfTrue="1">
      <formula>$B$21*$C$21</formula>
    </cfRule>
  </conditionalFormatting>
  <conditionalFormatting sqref="H18 H21:H50">
    <cfRule type="expression" priority="3" dxfId="0" stopIfTrue="1">
      <formula>I18&gt;120</formula>
    </cfRule>
  </conditionalFormatting>
  <conditionalFormatting sqref="B21:B50">
    <cfRule type="expression" priority="4" dxfId="0" stopIfTrue="1">
      <formula>I21&gt;120</formula>
    </cfRule>
  </conditionalFormatting>
  <dataValidations count="7">
    <dataValidation type="list" allowBlank="1" showErrorMessage="1" promptTitle="Beskyttet Celle" prompt="&#10;Ingen indtastning." errorTitle="Beskyttet celle" sqref="D14">
      <formula1>"0,30,0,25"</formula1>
    </dataValidation>
    <dataValidation type="list" allowBlank="1" showInputMessage="1" showErrorMessage="1" sqref="D12">
      <formula1>"45,46,47,48,49,50,51,52,53,54,55"</formula1>
    </dataValidation>
    <dataValidation type="list" allowBlank="1" showInputMessage="1" showErrorMessage="1" sqref="H13">
      <formula1>"20"</formula1>
    </dataValidation>
    <dataValidation type="list" allowBlank="1" showDropDown="1" showInputMessage="1" showErrorMessage="1" sqref="F13">
      <formula1>"G53:G54"</formula1>
    </dataValidation>
    <dataValidation type="list" allowBlank="1" showInputMessage="1" showErrorMessage="1" sqref="D13">
      <formula1>"3,4,5,6,7,8,9,10"</formula1>
    </dataValidation>
    <dataValidation type="decimal" operator="equal" allowBlank="1" showInputMessage="1" showErrorMessage="1" promptTitle="Ingen indtastning." errorTitle="Beskyttet celle" sqref="D21:D50">
      <formula1>IF(B21="","",B21*C21)</formula1>
    </dataValidation>
    <dataValidation type="decimal" operator="equal" allowBlank="1" showInputMessage="1" showErrorMessage="1" promptTitle="Ingen indtastning." errorTitle="Beskyttet celle." sqref="E21:E50">
      <formula1>IF(B21="","",D21*0.86/$D$13)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360" verticalDpi="360" orientation="portrait" scale="79" r:id="rId4"/>
  <legacyDrawing r:id="rId3"/>
  <oleObjects>
    <oleObject progId="MSPhotoEd.3" shapeId="19868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G52"/>
  <sheetViews>
    <sheetView tabSelected="1" zoomScale="123" zoomScaleNormal="123" zoomScalePageLayoutView="0" workbookViewId="0" topLeftCell="A2">
      <selection activeCell="AJ23" sqref="AJ23"/>
    </sheetView>
  </sheetViews>
  <sheetFormatPr defaultColWidth="9.140625" defaultRowHeight="12.75"/>
  <cols>
    <col min="1" max="1" width="13.7109375" style="1" customWidth="1"/>
    <col min="2" max="2" width="6.8515625" style="1" customWidth="1"/>
    <col min="3" max="3" width="8.00390625" style="1" customWidth="1"/>
    <col min="4" max="4" width="7.57421875" style="85" customWidth="1"/>
    <col min="5" max="5" width="6.28125" style="85" customWidth="1"/>
    <col min="6" max="6" width="6.00390625" style="1" customWidth="1"/>
    <col min="7" max="7" width="8.140625" style="1" customWidth="1"/>
    <col min="8" max="8" width="8.7109375" style="1" customWidth="1"/>
    <col min="9" max="9" width="8.28125" style="1" customWidth="1"/>
    <col min="10" max="10" width="5.57421875" style="1" customWidth="1"/>
    <col min="11" max="11" width="8.28125" style="1" customWidth="1"/>
    <col min="12" max="12" width="9.140625" style="1" customWidth="1"/>
    <col min="13" max="13" width="8.7109375" style="1" customWidth="1"/>
    <col min="14" max="14" width="7.57421875" style="1" customWidth="1"/>
    <col min="15" max="15" width="2.421875" style="0" hidden="1" customWidth="1"/>
    <col min="16" max="16" width="0" style="1" hidden="1" customWidth="1"/>
    <col min="17" max="17" width="10.7109375" style="1" hidden="1" customWidth="1"/>
    <col min="18" max="18" width="2.7109375" style="0" hidden="1" customWidth="1"/>
    <col min="19" max="19" width="6.7109375" style="91" hidden="1" customWidth="1"/>
    <col min="20" max="20" width="5.7109375" style="91" hidden="1" customWidth="1"/>
    <col min="21" max="21" width="2.57421875" style="0" hidden="1" customWidth="1"/>
    <col min="22" max="22" width="0" style="74" hidden="1" customWidth="1"/>
    <col min="23" max="23" width="2.7109375" style="86" hidden="1" customWidth="1"/>
    <col min="24" max="24" width="2.8515625" style="1" hidden="1" customWidth="1"/>
    <col min="25" max="25" width="2.57421875" style="85" hidden="1" customWidth="1"/>
    <col min="26" max="26" width="11.57421875" style="1" hidden="1" customWidth="1"/>
    <col min="27" max="27" width="2.8515625" style="1" hidden="1" customWidth="1"/>
    <col min="28" max="28" width="13.00390625" style="1" hidden="1" customWidth="1"/>
    <col min="29" max="29" width="2.57421875" style="1" hidden="1" customWidth="1"/>
    <col min="30" max="30" width="7.8515625" style="1" hidden="1" customWidth="1"/>
    <col min="31" max="31" width="6.421875" style="1" hidden="1" customWidth="1"/>
    <col min="32" max="32" width="2.57421875" style="1" hidden="1" customWidth="1"/>
    <col min="33" max="34" width="0" style="1" hidden="1" customWidth="1"/>
    <col min="35" max="16384" width="9.140625" style="1" customWidth="1"/>
  </cols>
  <sheetData>
    <row r="1" spans="1:25" s="210" customFormat="1" ht="72" customHeight="1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209"/>
      <c r="R1" s="209"/>
      <c r="S1" s="211"/>
      <c r="T1" s="211"/>
      <c r="U1" s="209"/>
      <c r="V1" s="212"/>
      <c r="W1" s="213"/>
      <c r="Y1" s="214"/>
    </row>
    <row r="2" spans="1:14" ht="18.75" customHeight="1">
      <c r="A2" s="215" t="s">
        <v>69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43" t="s">
        <v>67</v>
      </c>
      <c r="N2" s="244"/>
    </row>
    <row r="3" spans="1:14" ht="29.25" customHeight="1">
      <c r="A3" s="38"/>
      <c r="B3" s="21"/>
      <c r="C3" s="21"/>
      <c r="D3" s="80"/>
      <c r="E3" s="80"/>
      <c r="F3" s="21"/>
      <c r="G3" s="21"/>
      <c r="H3" s="21"/>
      <c r="I3" s="21"/>
      <c r="J3" s="21"/>
      <c r="K3" s="21"/>
      <c r="L3" s="21"/>
      <c r="M3" s="21"/>
      <c r="N3" s="18"/>
    </row>
    <row r="4" spans="1:23" ht="12.75">
      <c r="A4" s="51" t="s">
        <v>39</v>
      </c>
      <c r="B4" s="237" t="s">
        <v>77</v>
      </c>
      <c r="C4" s="238"/>
      <c r="D4" s="238"/>
      <c r="E4" s="238"/>
      <c r="F4" s="238"/>
      <c r="G4" s="238"/>
      <c r="H4" s="238"/>
      <c r="I4" s="238"/>
      <c r="J4" s="35"/>
      <c r="K4" s="52" t="s">
        <v>42</v>
      </c>
      <c r="L4" s="237"/>
      <c r="M4" s="238"/>
      <c r="N4" s="18"/>
      <c r="V4" s="75"/>
      <c r="W4" s="87"/>
    </row>
    <row r="5" spans="1:23" ht="12.75">
      <c r="A5" s="38"/>
      <c r="B5" s="21"/>
      <c r="C5" s="21"/>
      <c r="D5" s="80"/>
      <c r="E5" s="80"/>
      <c r="F5" s="21"/>
      <c r="G5" s="21"/>
      <c r="H5" s="21"/>
      <c r="I5" s="21"/>
      <c r="J5" s="21"/>
      <c r="K5" s="21"/>
      <c r="L5" s="21"/>
      <c r="M5" s="21"/>
      <c r="N5" s="18"/>
      <c r="V5" s="75"/>
      <c r="W5" s="87"/>
    </row>
    <row r="6" spans="1:23" ht="12.75">
      <c r="A6" s="51" t="s">
        <v>40</v>
      </c>
      <c r="B6" s="237"/>
      <c r="C6" s="238"/>
      <c r="D6" s="238"/>
      <c r="E6" s="238"/>
      <c r="F6" s="238"/>
      <c r="G6" s="238"/>
      <c r="H6" s="238"/>
      <c r="I6" s="238"/>
      <c r="J6" s="21"/>
      <c r="K6" s="52" t="s">
        <v>43</v>
      </c>
      <c r="L6" s="237"/>
      <c r="M6" s="238"/>
      <c r="N6" s="18"/>
      <c r="V6" s="75"/>
      <c r="W6" s="87"/>
    </row>
    <row r="7" spans="1:23" ht="12.75">
      <c r="A7" s="38"/>
      <c r="B7" s="21"/>
      <c r="C7" s="21"/>
      <c r="D7" s="80"/>
      <c r="E7" s="80"/>
      <c r="F7" s="21"/>
      <c r="G7" s="21"/>
      <c r="H7" s="21"/>
      <c r="I7" s="21"/>
      <c r="J7" s="21"/>
      <c r="K7" s="21"/>
      <c r="L7" s="21"/>
      <c r="M7" s="21"/>
      <c r="N7" s="18"/>
      <c r="V7" s="75"/>
      <c r="W7" s="87"/>
    </row>
    <row r="8" spans="1:23" ht="12.75">
      <c r="A8" s="51" t="s">
        <v>41</v>
      </c>
      <c r="B8" s="237"/>
      <c r="C8" s="238"/>
      <c r="D8" s="238"/>
      <c r="E8" s="238"/>
      <c r="F8" s="238"/>
      <c r="G8" s="238"/>
      <c r="H8" s="238"/>
      <c r="I8" s="238"/>
      <c r="J8" s="21"/>
      <c r="K8" s="52" t="s">
        <v>47</v>
      </c>
      <c r="L8" s="239"/>
      <c r="M8" s="240"/>
      <c r="N8" s="18"/>
      <c r="V8" s="75"/>
      <c r="W8" s="87"/>
    </row>
    <row r="9" spans="1:23" ht="12.75">
      <c r="A9" s="38"/>
      <c r="B9" s="45"/>
      <c r="C9" s="45"/>
      <c r="D9" s="80"/>
      <c r="E9" s="80"/>
      <c r="F9" s="21"/>
      <c r="G9" s="21"/>
      <c r="H9" s="21"/>
      <c r="I9" s="21"/>
      <c r="J9" s="21"/>
      <c r="K9" s="21"/>
      <c r="L9" s="21"/>
      <c r="M9" s="21"/>
      <c r="N9" s="18"/>
      <c r="V9" s="75"/>
      <c r="W9" s="87"/>
    </row>
    <row r="10" spans="1:23" ht="13.5" thickBot="1">
      <c r="A10" s="5"/>
      <c r="B10" s="46"/>
      <c r="C10" s="46"/>
      <c r="D10" s="81"/>
      <c r="E10" s="81"/>
      <c r="F10" s="6"/>
      <c r="G10" s="6"/>
      <c r="H10" s="6"/>
      <c r="I10" s="6"/>
      <c r="J10" s="6"/>
      <c r="K10" s="6"/>
      <c r="L10" s="6"/>
      <c r="M10" s="6"/>
      <c r="N10" s="7"/>
      <c r="V10" s="75"/>
      <c r="W10" s="87"/>
    </row>
    <row r="11" spans="1:23" ht="13.5" thickBot="1">
      <c r="A11" s="88"/>
      <c r="B11" s="41" t="s">
        <v>32</v>
      </c>
      <c r="C11" s="42"/>
      <c r="D11" s="82"/>
      <c r="E11" s="82"/>
      <c r="F11" s="21"/>
      <c r="G11" s="21"/>
      <c r="H11" s="21"/>
      <c r="I11" s="21"/>
      <c r="J11" s="18"/>
      <c r="K11" s="42" t="s">
        <v>31</v>
      </c>
      <c r="L11" s="43"/>
      <c r="M11" s="43"/>
      <c r="N11" s="44"/>
      <c r="V11" s="75"/>
      <c r="W11" s="87"/>
    </row>
    <row r="12" spans="1:23" ht="15" thickBot="1">
      <c r="A12" s="88"/>
      <c r="B12" s="9" t="s">
        <v>18</v>
      </c>
      <c r="C12" s="21"/>
      <c r="D12" s="200">
        <v>50</v>
      </c>
      <c r="E12" s="80" t="s">
        <v>55</v>
      </c>
      <c r="F12" s="50" t="s">
        <v>34</v>
      </c>
      <c r="G12" s="20"/>
      <c r="H12" s="20" t="s">
        <v>38</v>
      </c>
      <c r="I12" s="20"/>
      <c r="J12" s="33"/>
      <c r="K12" s="34" t="s">
        <v>30</v>
      </c>
      <c r="L12" s="22"/>
      <c r="M12" s="206">
        <f>$I$16</f>
        <v>385</v>
      </c>
      <c r="N12" s="23" t="s">
        <v>14</v>
      </c>
      <c r="V12" s="75"/>
      <c r="W12" s="87"/>
    </row>
    <row r="13" spans="1:23" ht="15" customHeight="1">
      <c r="A13" s="88"/>
      <c r="B13" s="9" t="s">
        <v>19</v>
      </c>
      <c r="C13" s="21"/>
      <c r="D13" s="201">
        <v>5</v>
      </c>
      <c r="E13" s="80" t="s">
        <v>20</v>
      </c>
      <c r="F13" s="241" t="s">
        <v>44</v>
      </c>
      <c r="G13" s="242"/>
      <c r="H13" s="204">
        <f>IF(F13="PEX",20,IF(F13="ALUPEX","16"))</f>
        <v>20</v>
      </c>
      <c r="I13" s="21" t="s">
        <v>33</v>
      </c>
      <c r="J13" s="18"/>
      <c r="K13" s="35" t="s">
        <v>50</v>
      </c>
      <c r="L13" s="18"/>
      <c r="M13" s="207">
        <f>IF($B$51=0,0,$M$16)</f>
        <v>3.8641264209244457</v>
      </c>
      <c r="N13" s="24" t="s">
        <v>57</v>
      </c>
      <c r="V13" s="75"/>
      <c r="W13" s="87"/>
    </row>
    <row r="14" spans="1:31" ht="13.5" thickBot="1">
      <c r="A14" s="89"/>
      <c r="B14" s="19" t="s">
        <v>35</v>
      </c>
      <c r="C14" s="6"/>
      <c r="D14" s="202">
        <v>0.3</v>
      </c>
      <c r="E14" s="81" t="s">
        <v>14</v>
      </c>
      <c r="F14" s="19"/>
      <c r="G14" s="6"/>
      <c r="H14" s="6"/>
      <c r="I14" s="6"/>
      <c r="J14" s="37"/>
      <c r="K14" s="36" t="s">
        <v>51</v>
      </c>
      <c r="L14" s="7"/>
      <c r="M14" s="208">
        <f>SUM(E21:E50)</f>
        <v>775.72</v>
      </c>
      <c r="N14" s="25" t="s">
        <v>13</v>
      </c>
      <c r="S14" s="236" t="s">
        <v>62</v>
      </c>
      <c r="T14" s="236"/>
      <c r="V14" s="75"/>
      <c r="W14" s="87"/>
      <c r="Y14" s="87"/>
      <c r="AA14" s="141"/>
      <c r="AD14" s="235" t="s">
        <v>63</v>
      </c>
      <c r="AE14" s="235"/>
    </row>
    <row r="15" spans="1:14" ht="13.5" hidden="1" thickBot="1">
      <c r="A15" s="26"/>
      <c r="B15" s="27"/>
      <c r="C15" s="27"/>
      <c r="D15" s="83"/>
      <c r="E15" s="83"/>
      <c r="F15" s="27"/>
      <c r="G15" s="27"/>
      <c r="H15" s="27"/>
      <c r="I15" s="27"/>
      <c r="J15" s="27"/>
      <c r="K15" s="27"/>
      <c r="L15" s="27"/>
      <c r="M15" s="27"/>
      <c r="N15" s="28"/>
    </row>
    <row r="16" spans="1:28" ht="13.5" hidden="1" thickBot="1">
      <c r="A16" s="26"/>
      <c r="B16" s="27"/>
      <c r="C16" s="27"/>
      <c r="D16" s="83"/>
      <c r="E16" s="83">
        <f>INDEX($E$21:$E$50,MATCH(MAX(AB21:AB50),$AB$21:$AB$50,0))</f>
        <v>332.82000000000005</v>
      </c>
      <c r="F16" s="27"/>
      <c r="G16" s="27"/>
      <c r="H16" s="27"/>
      <c r="I16" s="29">
        <f>SUM(I21:I50)</f>
        <v>385</v>
      </c>
      <c r="J16" s="27" t="s">
        <v>21</v>
      </c>
      <c r="K16" s="83">
        <f>INDEX($K21:$K$50,MATCH(MAX(AB21:AB50),$AB$21:$AB$50,0))</f>
        <v>2.914459476480001</v>
      </c>
      <c r="L16" s="47"/>
      <c r="M16" s="48">
        <f>IF($B$51=0,"",$K$16+$Z$16)</f>
        <v>3.8641264209244457</v>
      </c>
      <c r="N16" s="28"/>
      <c r="Z16" s="144">
        <f>INDEX($Z$21:$Z$50,MATCH(MAX(AB21:AB50),$AB$21:$AB$50,0))</f>
        <v>0.9496669444444445</v>
      </c>
      <c r="AB16" s="143">
        <f>MAX(AB21:AB50)</f>
        <v>3.8641264209244457</v>
      </c>
    </row>
    <row r="17" spans="1:14" ht="12.75" hidden="1">
      <c r="A17" s="26"/>
      <c r="B17" s="27"/>
      <c r="C17" s="27"/>
      <c r="D17" s="83"/>
      <c r="E17" s="83"/>
      <c r="F17" s="27"/>
      <c r="G17" s="27"/>
      <c r="H17" s="27"/>
      <c r="I17" s="27"/>
      <c r="J17" s="30" t="s">
        <v>22</v>
      </c>
      <c r="K17" s="27"/>
      <c r="L17" s="27"/>
      <c r="M17" s="27"/>
      <c r="N17" s="28"/>
    </row>
    <row r="18" spans="1:25" ht="13.5" hidden="1" thickBot="1">
      <c r="A18" s="26"/>
      <c r="B18" s="39"/>
      <c r="C18" s="54">
        <f>IF(B18="","",$D$12)</f>
      </c>
      <c r="D18" s="69">
        <f>IF(B18="","",B18*C18)</f>
      </c>
      <c r="E18" s="69">
        <f>IF(B18="","",D18*0.86/$D$13)</f>
      </c>
      <c r="F18" s="55">
        <f>IF(B18="","",$D$14)</f>
      </c>
      <c r="G18" s="224">
        <f>(IF(B18="","",ROUNDUP((IF(F18=0.3,(PRODUCT(B18*3.3)))+IF(F18=0.25,(PRODUCT(B18*4)))),0)))</f>
      </c>
      <c r="H18" s="54">
        <f>IF(B18="","",0)</f>
      </c>
      <c r="I18" s="219">
        <f>IF(B18="","",G18+H18)</f>
      </c>
      <c r="J18" s="221">
        <f>IF(B18="","",IF(AND($F$13="PEX",I18&gt;120),$J$17,IF(AND($F$13="ALUPEX",I18&gt;100),$J$17,"")))</f>
      </c>
      <c r="K18" s="222">
        <f>IF(B18="","",IF($F$13="PEX",E18/1000/V18*E18/1000/V18*10*I18,IF($F$13="ALUPEX",E18/1000/AG18*E18/1000/AG18*10*I18,0)))</f>
      </c>
      <c r="L18" s="222">
        <f>IF(OR(B18="",I18=""),"",$M$16-K18)</f>
      </c>
      <c r="M18" s="223">
        <f>IF(OR(B18="",I18=""),"",E18/1000/SQRT(($M$16-K18)/10))</f>
      </c>
      <c r="N18" s="205">
        <f>IF(OR(B18="",I18=""),"",INDEX($P$21:$P$34,MATCH(M18,$Q$21:$Q$34,-1)))</f>
      </c>
      <c r="V18" s="87">
        <f>IF(B18="","",INDEX($S$23:$S$32,MATCH(E18,$T$23:$T$31,-1)))</f>
      </c>
      <c r="Y18" s="87"/>
    </row>
    <row r="19" spans="1:33" ht="12.75">
      <c r="A19" s="2" t="s">
        <v>0</v>
      </c>
      <c r="B19" s="3" t="s">
        <v>1</v>
      </c>
      <c r="C19" s="3" t="s">
        <v>2</v>
      </c>
      <c r="D19" s="84" t="s">
        <v>3</v>
      </c>
      <c r="E19" s="84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23</v>
      </c>
      <c r="K19" s="3" t="s">
        <v>9</v>
      </c>
      <c r="L19" s="3" t="s">
        <v>10</v>
      </c>
      <c r="M19" s="3" t="s">
        <v>11</v>
      </c>
      <c r="N19" s="4" t="s">
        <v>17</v>
      </c>
      <c r="P19" s="2" t="s">
        <v>24</v>
      </c>
      <c r="Q19" s="4" t="s">
        <v>25</v>
      </c>
      <c r="S19" s="96" t="s">
        <v>27</v>
      </c>
      <c r="T19" s="92" t="s">
        <v>28</v>
      </c>
      <c r="V19" s="78" t="s">
        <v>29</v>
      </c>
      <c r="Z19" s="142" t="s">
        <v>61</v>
      </c>
      <c r="AB19" s="99" t="s">
        <v>60</v>
      </c>
      <c r="AD19" s="149" t="s">
        <v>27</v>
      </c>
      <c r="AE19" s="149" t="s">
        <v>28</v>
      </c>
      <c r="AG19" s="149" t="s">
        <v>29</v>
      </c>
    </row>
    <row r="20" spans="1:33" ht="15" thickBot="1">
      <c r="A20" s="5"/>
      <c r="B20" s="6" t="s">
        <v>36</v>
      </c>
      <c r="C20" s="6" t="s">
        <v>49</v>
      </c>
      <c r="D20" s="81" t="s">
        <v>48</v>
      </c>
      <c r="E20" s="81" t="s">
        <v>13</v>
      </c>
      <c r="F20" s="6" t="s">
        <v>14</v>
      </c>
      <c r="G20" s="6" t="s">
        <v>14</v>
      </c>
      <c r="H20" s="81" t="s">
        <v>14</v>
      </c>
      <c r="I20" s="81" t="s">
        <v>14</v>
      </c>
      <c r="J20" s="68"/>
      <c r="K20" s="6" t="s">
        <v>57</v>
      </c>
      <c r="L20" s="6" t="s">
        <v>57</v>
      </c>
      <c r="M20" s="6" t="s">
        <v>58</v>
      </c>
      <c r="N20" s="7" t="s">
        <v>15</v>
      </c>
      <c r="P20" s="5" t="s">
        <v>15</v>
      </c>
      <c r="Q20" s="7" t="s">
        <v>37</v>
      </c>
      <c r="S20" s="97" t="s">
        <v>26</v>
      </c>
      <c r="T20" s="93" t="s">
        <v>13</v>
      </c>
      <c r="V20" s="79" t="s">
        <v>53</v>
      </c>
      <c r="X20" s="147"/>
      <c r="Z20" s="25" t="s">
        <v>59</v>
      </c>
      <c r="AB20" s="25" t="s">
        <v>59</v>
      </c>
      <c r="AD20" s="25" t="s">
        <v>26</v>
      </c>
      <c r="AE20" s="25" t="s">
        <v>13</v>
      </c>
      <c r="AG20" s="25" t="s">
        <v>53</v>
      </c>
    </row>
    <row r="21" spans="1:33" ht="13.5" thickBot="1">
      <c r="A21" s="111" t="s">
        <v>70</v>
      </c>
      <c r="B21" s="109">
        <v>38.7</v>
      </c>
      <c r="C21" s="54">
        <f>IF(B21="","",$D$12)</f>
        <v>50</v>
      </c>
      <c r="D21" s="190">
        <f>IF(B21="","",B21*C21)</f>
        <v>1935.0000000000002</v>
      </c>
      <c r="E21" s="191">
        <f aca="true" t="shared" si="0" ref="E21:E50">IF(B21="","",D21*0.86/$D$13)</f>
        <v>332.82000000000005</v>
      </c>
      <c r="F21" s="55">
        <f>IF(B21="","",$D$14)</f>
        <v>0.3</v>
      </c>
      <c r="G21" s="195">
        <f>(IF(B21="","",ROUNDUP((IF(F21=0.3,(PRODUCT(B21*3.3)))+IF(F21=0.25,(PRODUCT(B21*4)))),0)))</f>
        <v>128</v>
      </c>
      <c r="H21" s="54">
        <v>20</v>
      </c>
      <c r="I21" s="203">
        <f>IF(B21="","",G21+H21)</f>
        <v>148</v>
      </c>
      <c r="J21" s="197" t="str">
        <f aca="true" t="shared" si="1" ref="J21:J50">IF(B21="","",IF(AND($F$13="PEX",I21&gt;120),$J$17,IF(AND($F$13="ALUPEX",I21&gt;100),$J$17,"")))</f>
        <v>FEJL !</v>
      </c>
      <c r="K21" s="198">
        <f>IF(B21="","",IF($F$13="PEX",E21/1000/V21*E21/1000/V21*10*I21,IF($F$13="ALUPEX",E21/1000/AG21*E21/1000/AG21*10*I21,0)))</f>
        <v>2.914459476480001</v>
      </c>
      <c r="L21" s="198">
        <f>IF(OR(B21="",I21=""),"",$M$16-K21)</f>
        <v>0.9496669444444445</v>
      </c>
      <c r="M21" s="199">
        <f>IF(OR(B21="",I21=""),"",E21/1000/SQRT(($M$16-K21)/10))</f>
        <v>1.08</v>
      </c>
      <c r="N21" s="205" t="str">
        <f aca="true" t="shared" si="2" ref="N21:N50">IF(OR(B21="",I21=""),"",INDEX($P$21:$P$34,MATCH(M21,$Q$21:$Q$34,-1)))</f>
        <v>N</v>
      </c>
      <c r="P21" s="227" t="s">
        <v>68</v>
      </c>
      <c r="Q21" s="225">
        <v>1.09</v>
      </c>
      <c r="S21" s="153">
        <v>8</v>
      </c>
      <c r="T21" s="94">
        <v>720</v>
      </c>
      <c r="V21" s="77">
        <f>IF(B21="","",INDEX($S$21:$S$32,MATCH(E21,$T$21:$T$32,-1)))</f>
        <v>7.5</v>
      </c>
      <c r="X21" s="145"/>
      <c r="Z21" s="139">
        <f>IF(B21="","",E21/1000/1.08*E21/1000/1.08*10)</f>
        <v>0.9496669444444445</v>
      </c>
      <c r="AB21" s="140">
        <f>IF(B21="","",SUM(K21,Z21))</f>
        <v>3.8641264209244457</v>
      </c>
      <c r="AC21" s="128"/>
      <c r="AD21" s="150">
        <v>3.6</v>
      </c>
      <c r="AE21" s="148">
        <v>720</v>
      </c>
      <c r="AG21" s="98">
        <f aca="true" t="shared" si="3" ref="AG21:AG50">IF(B21="","",INDEX($AD$21:$AD$32,MATCH(E21,$AE$21:$AE$32,-1)))</f>
        <v>3.4</v>
      </c>
    </row>
    <row r="22" spans="1:33" ht="13.5" thickBot="1">
      <c r="A22" s="112" t="s">
        <v>71</v>
      </c>
      <c r="B22" s="109">
        <v>11.2</v>
      </c>
      <c r="C22" s="54">
        <f aca="true" t="shared" si="4" ref="C22:C50">IF(B22="","",$D$12)</f>
        <v>50</v>
      </c>
      <c r="D22" s="190">
        <f>IF(B22="","",B22*C22)</f>
        <v>560</v>
      </c>
      <c r="E22" s="191">
        <f t="shared" si="0"/>
        <v>96.32</v>
      </c>
      <c r="F22" s="55">
        <f aca="true" t="shared" si="5" ref="F22:F50">IF(B22="","",$D$14)</f>
        <v>0.3</v>
      </c>
      <c r="G22" s="195">
        <f aca="true" t="shared" si="6" ref="G22:G50">(IF(B22="","",ROUNDUP((IF(F22=0.3,(PRODUCT(B22*3.3)))+IF(F22=0.25,(PRODUCT(B22*4)))),0)))</f>
        <v>37</v>
      </c>
      <c r="H22" s="54">
        <v>20</v>
      </c>
      <c r="I22" s="203">
        <f aca="true" t="shared" si="7" ref="I22:I50">IF(B22="","",G22+H22)</f>
        <v>57</v>
      </c>
      <c r="J22" s="197">
        <f t="shared" si="1"/>
      </c>
      <c r="K22" s="198">
        <f aca="true" t="shared" si="8" ref="K22:K50">IF(B22="","",IF($F$13="PEX",E22/1000/V22*E22/1000/V22*10*I22,IF($F$13="ALUPEX",E22/1000/AG22*E22/1000/AG22*10*I22,0)))</f>
        <v>0.13323757037037035</v>
      </c>
      <c r="L22" s="198">
        <f aca="true" t="shared" si="9" ref="L22:L50">IF(OR(B22="",I22=""),"",$M$16-K22)</f>
        <v>3.7308888505540754</v>
      </c>
      <c r="M22" s="199">
        <f aca="true" t="shared" si="10" ref="M22:M50">IF(OR(B22="",I22=""),"",E22/1000/SQRT(($M$16-K22)/10))</f>
        <v>0.15769223860497536</v>
      </c>
      <c r="N22" s="205">
        <f t="shared" si="2"/>
        <v>2</v>
      </c>
      <c r="P22" s="225">
        <v>7</v>
      </c>
      <c r="Q22" s="225">
        <v>0.92</v>
      </c>
      <c r="S22" s="153">
        <v>7.6</v>
      </c>
      <c r="T22" s="94">
        <v>540</v>
      </c>
      <c r="V22" s="77">
        <f aca="true" t="shared" si="11" ref="V22:V50">IF(B22="","",INDEX($S$21:$S$32,MATCH(E22,$T$21:$T$31,-1)))</f>
        <v>6.3</v>
      </c>
      <c r="X22" s="146"/>
      <c r="Z22" s="139">
        <f aca="true" t="shared" si="12" ref="Z22:Z50">IF(B22="","",E22/1000/1.08*E22/1000/1.08*10)</f>
        <v>0.07953997256515773</v>
      </c>
      <c r="AB22" s="138">
        <f aca="true" t="shared" si="13" ref="AB22:AB50">IF(B22="","",SUM(K22,Z22))</f>
        <v>0.21277754293552809</v>
      </c>
      <c r="AC22" s="128"/>
      <c r="AD22" s="151">
        <v>3.5</v>
      </c>
      <c r="AE22" s="148">
        <v>540</v>
      </c>
      <c r="AG22" s="98">
        <f t="shared" si="3"/>
        <v>2.8</v>
      </c>
    </row>
    <row r="23" spans="1:33" ht="13.5" thickBot="1">
      <c r="A23" s="112" t="s">
        <v>72</v>
      </c>
      <c r="B23" s="109">
        <v>8.8</v>
      </c>
      <c r="C23" s="54">
        <f t="shared" si="4"/>
        <v>50</v>
      </c>
      <c r="D23" s="192">
        <f aca="true" t="shared" si="14" ref="D23:D50">IF(B23="","",B23*C23)</f>
        <v>440.00000000000006</v>
      </c>
      <c r="E23" s="193">
        <f t="shared" si="0"/>
        <v>75.68</v>
      </c>
      <c r="F23" s="55">
        <f t="shared" si="5"/>
        <v>0.3</v>
      </c>
      <c r="G23" s="195">
        <f t="shared" si="6"/>
        <v>30</v>
      </c>
      <c r="H23" s="54">
        <v>20</v>
      </c>
      <c r="I23" s="203">
        <f t="shared" si="7"/>
        <v>50</v>
      </c>
      <c r="J23" s="197">
        <f t="shared" si="1"/>
      </c>
      <c r="K23" s="198">
        <f t="shared" si="8"/>
        <v>0.0721524615772235</v>
      </c>
      <c r="L23" s="198">
        <f t="shared" si="9"/>
        <v>3.791973959347222</v>
      </c>
      <c r="M23" s="199">
        <f t="shared" si="10"/>
        <v>0.122899028616303</v>
      </c>
      <c r="N23" s="205">
        <f t="shared" si="2"/>
        <v>1</v>
      </c>
      <c r="P23" s="225">
        <v>6.5</v>
      </c>
      <c r="Q23" s="225">
        <v>0.84</v>
      </c>
      <c r="S23" s="154">
        <v>7.5</v>
      </c>
      <c r="T23" s="95">
        <v>360</v>
      </c>
      <c r="V23" s="77">
        <f t="shared" si="11"/>
        <v>6.3</v>
      </c>
      <c r="Z23" s="139">
        <f t="shared" si="12"/>
        <v>0.04910375857338821</v>
      </c>
      <c r="AB23" s="138">
        <f t="shared" si="13"/>
        <v>0.12125622015061172</v>
      </c>
      <c r="AC23" s="128"/>
      <c r="AD23" s="151">
        <v>3.4</v>
      </c>
      <c r="AE23" s="148">
        <v>360</v>
      </c>
      <c r="AG23" s="98">
        <f t="shared" si="3"/>
        <v>2.8</v>
      </c>
    </row>
    <row r="24" spans="1:33" ht="13.5" thickBot="1">
      <c r="A24" s="112" t="s">
        <v>73</v>
      </c>
      <c r="B24" s="109">
        <v>8.8</v>
      </c>
      <c r="C24" s="54">
        <f t="shared" si="4"/>
        <v>50</v>
      </c>
      <c r="D24" s="192">
        <f t="shared" si="14"/>
        <v>440.00000000000006</v>
      </c>
      <c r="E24" s="193">
        <f t="shared" si="0"/>
        <v>75.68</v>
      </c>
      <c r="F24" s="55">
        <f t="shared" si="5"/>
        <v>0.3</v>
      </c>
      <c r="G24" s="195">
        <f t="shared" si="6"/>
        <v>30</v>
      </c>
      <c r="H24" s="54">
        <v>5</v>
      </c>
      <c r="I24" s="203">
        <f t="shared" si="7"/>
        <v>35</v>
      </c>
      <c r="J24" s="197">
        <f t="shared" si="1"/>
      </c>
      <c r="K24" s="198">
        <f t="shared" si="8"/>
        <v>0.050506723104056454</v>
      </c>
      <c r="L24" s="198">
        <f t="shared" si="9"/>
        <v>3.813619697820389</v>
      </c>
      <c r="M24" s="199">
        <f t="shared" si="10"/>
        <v>0.12254975076338018</v>
      </c>
      <c r="N24" s="205">
        <f>IF(OR(B24="",I24=""),"",INDEX($P$21:$P$34,MATCH(M24,$Q$21:$Q$34,-1)))</f>
        <v>1</v>
      </c>
      <c r="P24" s="225">
        <v>6</v>
      </c>
      <c r="Q24" s="225">
        <v>0.76</v>
      </c>
      <c r="S24" s="153">
        <v>7.3</v>
      </c>
      <c r="T24" s="94">
        <v>324</v>
      </c>
      <c r="V24" s="77">
        <f t="shared" si="11"/>
        <v>6.3</v>
      </c>
      <c r="Z24" s="139">
        <f t="shared" si="12"/>
        <v>0.04910375857338821</v>
      </c>
      <c r="AB24" s="138">
        <f t="shared" si="13"/>
        <v>0.09961048167744466</v>
      </c>
      <c r="AC24" s="128"/>
      <c r="AD24" s="151">
        <v>3.3</v>
      </c>
      <c r="AE24" s="148">
        <v>324</v>
      </c>
      <c r="AG24" s="98">
        <f t="shared" si="3"/>
        <v>2.8</v>
      </c>
    </row>
    <row r="25" spans="1:33" ht="13.5" thickBot="1">
      <c r="A25" s="112" t="s">
        <v>74</v>
      </c>
      <c r="B25" s="109">
        <v>5</v>
      </c>
      <c r="C25" s="54">
        <f t="shared" si="4"/>
        <v>50</v>
      </c>
      <c r="D25" s="192">
        <f t="shared" si="14"/>
        <v>250</v>
      </c>
      <c r="E25" s="193">
        <f t="shared" si="0"/>
        <v>43</v>
      </c>
      <c r="F25" s="55">
        <f t="shared" si="5"/>
        <v>0.3</v>
      </c>
      <c r="G25" s="195">
        <f t="shared" si="6"/>
        <v>17</v>
      </c>
      <c r="H25" s="54">
        <v>8</v>
      </c>
      <c r="I25" s="203">
        <f t="shared" si="7"/>
        <v>25</v>
      </c>
      <c r="J25" s="197">
        <f t="shared" si="1"/>
      </c>
      <c r="K25" s="198">
        <f t="shared" si="8"/>
        <v>0.012025234131113423</v>
      </c>
      <c r="L25" s="198">
        <f t="shared" si="9"/>
        <v>3.852101186793332</v>
      </c>
      <c r="M25" s="199">
        <f t="shared" si="10"/>
        <v>0.06928187175071276</v>
      </c>
      <c r="N25" s="205">
        <f t="shared" si="2"/>
        <v>1</v>
      </c>
      <c r="P25" s="225">
        <v>5.5</v>
      </c>
      <c r="Q25" s="225">
        <v>0.62</v>
      </c>
      <c r="S25" s="153">
        <v>7.2</v>
      </c>
      <c r="T25" s="94">
        <v>288</v>
      </c>
      <c r="V25" s="77">
        <f t="shared" si="11"/>
        <v>6.2</v>
      </c>
      <c r="Z25" s="139">
        <f t="shared" si="12"/>
        <v>0.01585219478737997</v>
      </c>
      <c r="AB25" s="138">
        <f t="shared" si="13"/>
        <v>0.027877428918493395</v>
      </c>
      <c r="AC25" s="128"/>
      <c r="AD25" s="151">
        <v>3.3</v>
      </c>
      <c r="AE25" s="148">
        <v>288</v>
      </c>
      <c r="AG25" s="98">
        <f t="shared" si="3"/>
        <v>2.6</v>
      </c>
    </row>
    <row r="26" spans="1:33" ht="13.5" thickBot="1">
      <c r="A26" s="112" t="s">
        <v>75</v>
      </c>
      <c r="B26" s="109">
        <v>10.2</v>
      </c>
      <c r="C26" s="54">
        <f t="shared" si="4"/>
        <v>50</v>
      </c>
      <c r="D26" s="192">
        <f t="shared" si="14"/>
        <v>509.99999999999994</v>
      </c>
      <c r="E26" s="193">
        <f t="shared" si="0"/>
        <v>87.72</v>
      </c>
      <c r="F26" s="55">
        <f t="shared" si="5"/>
        <v>0.3</v>
      </c>
      <c r="G26" s="195">
        <f t="shared" si="6"/>
        <v>34</v>
      </c>
      <c r="H26" s="54">
        <v>8</v>
      </c>
      <c r="I26" s="203">
        <f t="shared" si="7"/>
        <v>42</v>
      </c>
      <c r="J26" s="197">
        <f t="shared" si="1"/>
      </c>
      <c r="K26" s="198">
        <f t="shared" si="8"/>
        <v>0.0814264380952381</v>
      </c>
      <c r="L26" s="198">
        <f t="shared" si="9"/>
        <v>3.7826999828292074</v>
      </c>
      <c r="M26" s="199">
        <f t="shared" si="10"/>
        <v>0.14262566234512655</v>
      </c>
      <c r="N26" s="205">
        <f t="shared" si="2"/>
        <v>1.5</v>
      </c>
      <c r="P26" s="225">
        <v>5</v>
      </c>
      <c r="Q26" s="225">
        <v>0.51</v>
      </c>
      <c r="S26" s="153">
        <v>7.1</v>
      </c>
      <c r="T26" s="94">
        <v>252</v>
      </c>
      <c r="V26" s="77">
        <f t="shared" si="11"/>
        <v>6.3</v>
      </c>
      <c r="Z26" s="139">
        <f t="shared" si="12"/>
        <v>0.06597049382716048</v>
      </c>
      <c r="AB26" s="138">
        <f t="shared" si="13"/>
        <v>0.14739693192239858</v>
      </c>
      <c r="AC26" s="128"/>
      <c r="AD26" s="151">
        <v>3.2</v>
      </c>
      <c r="AE26" s="148">
        <v>252</v>
      </c>
      <c r="AG26" s="98">
        <f t="shared" si="3"/>
        <v>2.8</v>
      </c>
    </row>
    <row r="27" spans="1:33" ht="13.5" thickBot="1">
      <c r="A27" s="112" t="s">
        <v>76</v>
      </c>
      <c r="B27" s="109">
        <v>7.5</v>
      </c>
      <c r="C27" s="54">
        <f t="shared" si="4"/>
        <v>50</v>
      </c>
      <c r="D27" s="192">
        <f t="shared" si="14"/>
        <v>375</v>
      </c>
      <c r="E27" s="193">
        <f t="shared" si="0"/>
        <v>64.5</v>
      </c>
      <c r="F27" s="55">
        <f t="shared" si="5"/>
        <v>0.3</v>
      </c>
      <c r="G27" s="195">
        <f t="shared" si="6"/>
        <v>25</v>
      </c>
      <c r="H27" s="54">
        <v>3</v>
      </c>
      <c r="I27" s="203">
        <f t="shared" si="7"/>
        <v>28</v>
      </c>
      <c r="J27" s="197">
        <f t="shared" si="1"/>
      </c>
      <c r="K27" s="198">
        <f t="shared" si="8"/>
        <v>0.030303590010405824</v>
      </c>
      <c r="L27" s="198">
        <f t="shared" si="9"/>
        <v>3.83382283091404</v>
      </c>
      <c r="M27" s="199">
        <f t="shared" si="10"/>
        <v>0.10417024724960885</v>
      </c>
      <c r="N27" s="205">
        <f t="shared" si="2"/>
        <v>1</v>
      </c>
      <c r="P27" s="225">
        <v>4.5</v>
      </c>
      <c r="Q27" s="225">
        <v>0.44</v>
      </c>
      <c r="S27" s="153">
        <v>6.8</v>
      </c>
      <c r="T27" s="94">
        <v>216</v>
      </c>
      <c r="V27" s="77">
        <f t="shared" si="11"/>
        <v>6.2</v>
      </c>
      <c r="Z27" s="139">
        <f t="shared" si="12"/>
        <v>0.03566743827160493</v>
      </c>
      <c r="AB27" s="138">
        <f t="shared" si="13"/>
        <v>0.06597102828201075</v>
      </c>
      <c r="AC27" s="128"/>
      <c r="AD27" s="151">
        <v>3.1</v>
      </c>
      <c r="AE27" s="148">
        <v>216</v>
      </c>
      <c r="AG27" s="98">
        <f t="shared" si="3"/>
        <v>2.6</v>
      </c>
    </row>
    <row r="28" spans="1:33" ht="13.5" thickBot="1">
      <c r="A28" s="112"/>
      <c r="B28" s="109"/>
      <c r="C28" s="54">
        <f t="shared" si="4"/>
      </c>
      <c r="D28" s="192">
        <f t="shared" si="14"/>
      </c>
      <c r="E28" s="193">
        <f t="shared" si="0"/>
      </c>
      <c r="F28" s="55">
        <f t="shared" si="5"/>
      </c>
      <c r="G28" s="195">
        <f t="shared" si="6"/>
      </c>
      <c r="H28" s="54">
        <f aca="true" t="shared" si="15" ref="H22:H50">IF(B28="","",0)</f>
      </c>
      <c r="I28" s="203">
        <f t="shared" si="7"/>
      </c>
      <c r="J28" s="197">
        <f t="shared" si="1"/>
      </c>
      <c r="K28" s="198">
        <f t="shared" si="8"/>
      </c>
      <c r="L28" s="198">
        <f t="shared" si="9"/>
      </c>
      <c r="M28" s="199">
        <f t="shared" si="10"/>
      </c>
      <c r="N28" s="205">
        <f t="shared" si="2"/>
      </c>
      <c r="P28" s="225">
        <v>4</v>
      </c>
      <c r="Q28" s="225">
        <v>0.35</v>
      </c>
      <c r="S28" s="153">
        <v>6.7</v>
      </c>
      <c r="T28" s="94">
        <v>180</v>
      </c>
      <c r="V28" s="77">
        <f t="shared" si="11"/>
      </c>
      <c r="Z28" s="139">
        <f t="shared" si="12"/>
      </c>
      <c r="AB28" s="138">
        <f t="shared" si="13"/>
      </c>
      <c r="AC28" s="128"/>
      <c r="AD28" s="151">
        <v>3</v>
      </c>
      <c r="AE28" s="148">
        <v>180</v>
      </c>
      <c r="AG28" s="98">
        <f t="shared" si="3"/>
      </c>
    </row>
    <row r="29" spans="1:33" ht="13.5" thickBot="1">
      <c r="A29" s="112"/>
      <c r="B29" s="110"/>
      <c r="C29" s="54">
        <f t="shared" si="4"/>
      </c>
      <c r="D29" s="192">
        <f t="shared" si="14"/>
      </c>
      <c r="E29" s="193">
        <f t="shared" si="0"/>
      </c>
      <c r="F29" s="55">
        <f t="shared" si="5"/>
      </c>
      <c r="G29" s="195">
        <f t="shared" si="6"/>
      </c>
      <c r="H29" s="54">
        <f t="shared" si="15"/>
      </c>
      <c r="I29" s="203">
        <f t="shared" si="7"/>
      </c>
      <c r="J29" s="197">
        <f t="shared" si="1"/>
      </c>
      <c r="K29" s="198">
        <f t="shared" si="8"/>
      </c>
      <c r="L29" s="198">
        <f t="shared" si="9"/>
      </c>
      <c r="M29" s="199">
        <f t="shared" si="10"/>
      </c>
      <c r="N29" s="205">
        <f t="shared" si="2"/>
      </c>
      <c r="P29" s="225">
        <v>3.5</v>
      </c>
      <c r="Q29" s="225">
        <v>0.3</v>
      </c>
      <c r="S29" s="153">
        <v>6.5</v>
      </c>
      <c r="T29" s="94">
        <v>144</v>
      </c>
      <c r="V29" s="77">
        <f t="shared" si="11"/>
      </c>
      <c r="Z29" s="139">
        <f t="shared" si="12"/>
      </c>
      <c r="AB29" s="138">
        <f t="shared" si="13"/>
      </c>
      <c r="AC29" s="128"/>
      <c r="AD29" s="151">
        <v>2.9</v>
      </c>
      <c r="AE29" s="148">
        <v>144</v>
      </c>
      <c r="AG29" s="98">
        <f t="shared" si="3"/>
      </c>
    </row>
    <row r="30" spans="1:33" ht="13.5" thickBot="1">
      <c r="A30" s="112"/>
      <c r="B30" s="110"/>
      <c r="C30" s="54">
        <f t="shared" si="4"/>
      </c>
      <c r="D30" s="192">
        <f t="shared" si="14"/>
      </c>
      <c r="E30" s="193">
        <f t="shared" si="0"/>
      </c>
      <c r="F30" s="55">
        <f t="shared" si="5"/>
      </c>
      <c r="G30" s="195">
        <f t="shared" si="6"/>
      </c>
      <c r="H30" s="54">
        <f t="shared" si="15"/>
      </c>
      <c r="I30" s="203">
        <f t="shared" si="7"/>
      </c>
      <c r="J30" s="197">
        <f t="shared" si="1"/>
      </c>
      <c r="K30" s="198">
        <f t="shared" si="8"/>
      </c>
      <c r="L30" s="198">
        <f t="shared" si="9"/>
      </c>
      <c r="M30" s="199">
        <f t="shared" si="10"/>
      </c>
      <c r="N30" s="205">
        <f t="shared" si="2"/>
      </c>
      <c r="P30" s="225">
        <v>3</v>
      </c>
      <c r="Q30" s="225">
        <v>0.25</v>
      </c>
      <c r="S30" s="153">
        <v>6.3</v>
      </c>
      <c r="T30" s="94">
        <v>108</v>
      </c>
      <c r="V30" s="77">
        <f t="shared" si="11"/>
      </c>
      <c r="Z30" s="139">
        <f t="shared" si="12"/>
      </c>
      <c r="AB30" s="138">
        <f t="shared" si="13"/>
      </c>
      <c r="AC30" s="128"/>
      <c r="AD30" s="151">
        <v>2.8</v>
      </c>
      <c r="AE30" s="148">
        <v>108</v>
      </c>
      <c r="AG30" s="98">
        <f t="shared" si="3"/>
      </c>
    </row>
    <row r="31" spans="1:33" ht="13.5" thickBot="1">
      <c r="A31" s="112"/>
      <c r="B31" s="110"/>
      <c r="C31" s="54">
        <f t="shared" si="4"/>
      </c>
      <c r="D31" s="192">
        <f t="shared" si="14"/>
      </c>
      <c r="E31" s="193">
        <f t="shared" si="0"/>
      </c>
      <c r="F31" s="55">
        <f t="shared" si="5"/>
      </c>
      <c r="G31" s="195">
        <f t="shared" si="6"/>
      </c>
      <c r="H31" s="54">
        <f t="shared" si="15"/>
      </c>
      <c r="I31" s="203">
        <f t="shared" si="7"/>
      </c>
      <c r="J31" s="197">
        <f t="shared" si="1"/>
      </c>
      <c r="K31" s="198">
        <f t="shared" si="8"/>
      </c>
      <c r="L31" s="198">
        <f t="shared" si="9"/>
      </c>
      <c r="M31" s="199">
        <f t="shared" si="10"/>
      </c>
      <c r="N31" s="205">
        <f t="shared" si="2"/>
      </c>
      <c r="P31" s="225">
        <v>2.5</v>
      </c>
      <c r="Q31" s="225">
        <v>0.22</v>
      </c>
      <c r="S31" s="153">
        <v>6.2</v>
      </c>
      <c r="T31" s="94">
        <v>72</v>
      </c>
      <c r="V31" s="77">
        <f t="shared" si="11"/>
      </c>
      <c r="W31" s="85"/>
      <c r="Z31" s="139">
        <f t="shared" si="12"/>
      </c>
      <c r="AB31" s="138">
        <f t="shared" si="13"/>
      </c>
      <c r="AC31" s="128"/>
      <c r="AD31" s="152">
        <v>2.6</v>
      </c>
      <c r="AE31" s="148">
        <v>72</v>
      </c>
      <c r="AG31" s="98">
        <f t="shared" si="3"/>
      </c>
    </row>
    <row r="32" spans="1:33" ht="13.5" thickBot="1">
      <c r="A32" s="112"/>
      <c r="B32" s="110"/>
      <c r="C32" s="54">
        <f t="shared" si="4"/>
      </c>
      <c r="D32" s="192">
        <f t="shared" si="14"/>
      </c>
      <c r="E32" s="193">
        <f t="shared" si="0"/>
      </c>
      <c r="F32" s="55">
        <f t="shared" si="5"/>
      </c>
      <c r="G32" s="195">
        <f t="shared" si="6"/>
      </c>
      <c r="H32" s="54">
        <f t="shared" si="15"/>
      </c>
      <c r="I32" s="203">
        <f t="shared" si="7"/>
      </c>
      <c r="J32" s="197">
        <f t="shared" si="1"/>
      </c>
      <c r="K32" s="198">
        <f t="shared" si="8"/>
      </c>
      <c r="L32" s="198">
        <f t="shared" si="9"/>
      </c>
      <c r="M32" s="199">
        <f t="shared" si="10"/>
      </c>
      <c r="N32" s="205">
        <f t="shared" si="2"/>
      </c>
      <c r="P32" s="225">
        <v>2</v>
      </c>
      <c r="Q32" s="225">
        <v>0.19</v>
      </c>
      <c r="S32" s="153">
        <v>5.7</v>
      </c>
      <c r="T32" s="94">
        <v>32</v>
      </c>
      <c r="V32" s="77">
        <f t="shared" si="11"/>
      </c>
      <c r="Z32" s="139">
        <f t="shared" si="12"/>
      </c>
      <c r="AB32" s="138">
        <f t="shared" si="13"/>
      </c>
      <c r="AD32" s="151">
        <v>2.4</v>
      </c>
      <c r="AE32" s="148">
        <v>36</v>
      </c>
      <c r="AG32" s="98">
        <f t="shared" si="3"/>
      </c>
    </row>
    <row r="33" spans="1:33" ht="13.5" thickBot="1">
      <c r="A33" s="112"/>
      <c r="B33" s="110"/>
      <c r="C33" s="54">
        <f t="shared" si="4"/>
      </c>
      <c r="D33" s="192">
        <f t="shared" si="14"/>
      </c>
      <c r="E33" s="193">
        <f t="shared" si="0"/>
      </c>
      <c r="F33" s="55">
        <f t="shared" si="5"/>
      </c>
      <c r="G33" s="195">
        <f t="shared" si="6"/>
      </c>
      <c r="H33" s="54">
        <f t="shared" si="15"/>
      </c>
      <c r="I33" s="203">
        <f t="shared" si="7"/>
      </c>
      <c r="J33" s="197">
        <f t="shared" si="1"/>
      </c>
      <c r="K33" s="198">
        <f t="shared" si="8"/>
      </c>
      <c r="L33" s="198">
        <f t="shared" si="9"/>
      </c>
      <c r="M33" s="199">
        <f t="shared" si="10"/>
      </c>
      <c r="N33" s="205">
        <f t="shared" si="2"/>
      </c>
      <c r="P33" s="225">
        <v>1.5</v>
      </c>
      <c r="Q33" s="225">
        <v>0.15</v>
      </c>
      <c r="V33" s="77">
        <f t="shared" si="11"/>
      </c>
      <c r="Z33" s="139">
        <f t="shared" si="12"/>
      </c>
      <c r="AB33" s="138">
        <f t="shared" si="13"/>
      </c>
      <c r="AD33" s="27"/>
      <c r="AE33" s="27"/>
      <c r="AG33" s="98">
        <f t="shared" si="3"/>
      </c>
    </row>
    <row r="34" spans="1:33" ht="13.5" thickBot="1">
      <c r="A34" s="112"/>
      <c r="B34" s="110"/>
      <c r="C34" s="54">
        <f t="shared" si="4"/>
      </c>
      <c r="D34" s="192">
        <f t="shared" si="14"/>
      </c>
      <c r="E34" s="193">
        <f t="shared" si="0"/>
      </c>
      <c r="F34" s="55">
        <f t="shared" si="5"/>
      </c>
      <c r="G34" s="195">
        <f t="shared" si="6"/>
      </c>
      <c r="H34" s="54">
        <f t="shared" si="15"/>
      </c>
      <c r="I34" s="203">
        <f t="shared" si="7"/>
      </c>
      <c r="J34" s="197">
        <f t="shared" si="1"/>
      </c>
      <c r="K34" s="198">
        <f t="shared" si="8"/>
      </c>
      <c r="L34" s="198">
        <f t="shared" si="9"/>
      </c>
      <c r="M34" s="199">
        <f t="shared" si="10"/>
      </c>
      <c r="N34" s="205">
        <f t="shared" si="2"/>
      </c>
      <c r="P34" s="225">
        <v>1</v>
      </c>
      <c r="Q34" s="225">
        <v>0.13</v>
      </c>
      <c r="V34" s="77">
        <f t="shared" si="11"/>
      </c>
      <c r="Z34" s="139">
        <f t="shared" si="12"/>
      </c>
      <c r="AB34" s="138">
        <f t="shared" si="13"/>
      </c>
      <c r="AG34" s="98">
        <f t="shared" si="3"/>
      </c>
    </row>
    <row r="35" spans="1:33" ht="12.75">
      <c r="A35" s="112"/>
      <c r="B35" s="110"/>
      <c r="C35" s="54">
        <f t="shared" si="4"/>
      </c>
      <c r="D35" s="192">
        <f t="shared" si="14"/>
      </c>
      <c r="E35" s="193">
        <f t="shared" si="0"/>
      </c>
      <c r="F35" s="55">
        <f t="shared" si="5"/>
      </c>
      <c r="G35" s="195">
        <f t="shared" si="6"/>
      </c>
      <c r="H35" s="54">
        <f t="shared" si="15"/>
      </c>
      <c r="I35" s="203">
        <f t="shared" si="7"/>
      </c>
      <c r="J35" s="197">
        <f t="shared" si="1"/>
      </c>
      <c r="K35" s="198">
        <f t="shared" si="8"/>
      </c>
      <c r="L35" s="198">
        <f t="shared" si="9"/>
      </c>
      <c r="M35" s="199">
        <f t="shared" si="10"/>
      </c>
      <c r="N35" s="205">
        <f t="shared" si="2"/>
      </c>
      <c r="P35" s="114"/>
      <c r="Q35" s="12"/>
      <c r="V35" s="77">
        <f t="shared" si="11"/>
      </c>
      <c r="Z35" s="139">
        <f t="shared" si="12"/>
      </c>
      <c r="AB35" s="138">
        <f t="shared" si="13"/>
      </c>
      <c r="AG35" s="98">
        <f t="shared" si="3"/>
      </c>
    </row>
    <row r="36" spans="1:33" ht="12.75">
      <c r="A36" s="112"/>
      <c r="B36" s="110"/>
      <c r="C36" s="54">
        <f t="shared" si="4"/>
      </c>
      <c r="D36" s="192">
        <f t="shared" si="14"/>
      </c>
      <c r="E36" s="193">
        <f t="shared" si="0"/>
      </c>
      <c r="F36" s="55">
        <f t="shared" si="5"/>
      </c>
      <c r="G36" s="195">
        <f t="shared" si="6"/>
      </c>
      <c r="H36" s="54">
        <f t="shared" si="15"/>
      </c>
      <c r="I36" s="203">
        <f t="shared" si="7"/>
      </c>
      <c r="J36" s="197">
        <f t="shared" si="1"/>
      </c>
      <c r="K36" s="198">
        <f t="shared" si="8"/>
      </c>
      <c r="L36" s="198">
        <f t="shared" si="9"/>
      </c>
      <c r="M36" s="199">
        <f t="shared" si="10"/>
      </c>
      <c r="N36" s="205">
        <f t="shared" si="2"/>
      </c>
      <c r="P36" s="114"/>
      <c r="Q36" s="12"/>
      <c r="V36" s="77">
        <f t="shared" si="11"/>
      </c>
      <c r="Z36" s="139">
        <f t="shared" si="12"/>
      </c>
      <c r="AB36" s="138">
        <f t="shared" si="13"/>
      </c>
      <c r="AG36" s="98">
        <f t="shared" si="3"/>
      </c>
    </row>
    <row r="37" spans="1:33" ht="12.75">
      <c r="A37" s="112"/>
      <c r="B37" s="110"/>
      <c r="C37" s="54">
        <f t="shared" si="4"/>
      </c>
      <c r="D37" s="192">
        <f t="shared" si="14"/>
      </c>
      <c r="E37" s="193">
        <f t="shared" si="0"/>
      </c>
      <c r="F37" s="55">
        <f t="shared" si="5"/>
      </c>
      <c r="G37" s="195">
        <f t="shared" si="6"/>
      </c>
      <c r="H37" s="54">
        <f t="shared" si="15"/>
      </c>
      <c r="I37" s="203">
        <f t="shared" si="7"/>
      </c>
      <c r="J37" s="197">
        <f t="shared" si="1"/>
      </c>
      <c r="K37" s="198">
        <f t="shared" si="8"/>
      </c>
      <c r="L37" s="198">
        <f t="shared" si="9"/>
      </c>
      <c r="M37" s="199">
        <f t="shared" si="10"/>
      </c>
      <c r="N37" s="205">
        <f t="shared" si="2"/>
      </c>
      <c r="P37" s="114"/>
      <c r="Q37" s="12"/>
      <c r="V37" s="77">
        <f t="shared" si="11"/>
      </c>
      <c r="Z37" s="139">
        <f t="shared" si="12"/>
      </c>
      <c r="AB37" s="138">
        <f t="shared" si="13"/>
      </c>
      <c r="AG37" s="98">
        <f t="shared" si="3"/>
      </c>
    </row>
    <row r="38" spans="1:33" ht="12.75">
      <c r="A38" s="112"/>
      <c r="B38" s="110"/>
      <c r="C38" s="54">
        <f t="shared" si="4"/>
      </c>
      <c r="D38" s="192">
        <f t="shared" si="14"/>
      </c>
      <c r="E38" s="193">
        <f t="shared" si="0"/>
      </c>
      <c r="F38" s="55">
        <f t="shared" si="5"/>
      </c>
      <c r="G38" s="195">
        <f t="shared" si="6"/>
      </c>
      <c r="H38" s="54">
        <f t="shared" si="15"/>
      </c>
      <c r="I38" s="203">
        <f t="shared" si="7"/>
      </c>
      <c r="J38" s="197">
        <f t="shared" si="1"/>
      </c>
      <c r="K38" s="198">
        <f t="shared" si="8"/>
      </c>
      <c r="L38" s="198">
        <f t="shared" si="9"/>
      </c>
      <c r="M38" s="199">
        <f t="shared" si="10"/>
      </c>
      <c r="N38" s="205">
        <f t="shared" si="2"/>
      </c>
      <c r="P38" s="114"/>
      <c r="Q38" s="12"/>
      <c r="V38" s="77">
        <f t="shared" si="11"/>
      </c>
      <c r="Z38" s="139">
        <f t="shared" si="12"/>
      </c>
      <c r="AB38" s="138">
        <f t="shared" si="13"/>
      </c>
      <c r="AG38" s="98">
        <f t="shared" si="3"/>
      </c>
    </row>
    <row r="39" spans="1:33" ht="12.75">
      <c r="A39" s="112"/>
      <c r="B39" s="110"/>
      <c r="C39" s="54">
        <f t="shared" si="4"/>
      </c>
      <c r="D39" s="192">
        <f t="shared" si="14"/>
      </c>
      <c r="E39" s="193">
        <f t="shared" si="0"/>
      </c>
      <c r="F39" s="55">
        <f t="shared" si="5"/>
      </c>
      <c r="G39" s="195">
        <f t="shared" si="6"/>
      </c>
      <c r="H39" s="54">
        <f t="shared" si="15"/>
      </c>
      <c r="I39" s="203">
        <f t="shared" si="7"/>
      </c>
      <c r="J39" s="197">
        <f t="shared" si="1"/>
      </c>
      <c r="K39" s="198">
        <f t="shared" si="8"/>
      </c>
      <c r="L39" s="198">
        <f t="shared" si="9"/>
      </c>
      <c r="M39" s="199">
        <f t="shared" si="10"/>
      </c>
      <c r="N39" s="205">
        <f t="shared" si="2"/>
      </c>
      <c r="P39" s="114"/>
      <c r="Q39" s="12"/>
      <c r="V39" s="77">
        <f t="shared" si="11"/>
      </c>
      <c r="Z39" s="139">
        <f t="shared" si="12"/>
      </c>
      <c r="AB39" s="138">
        <f t="shared" si="13"/>
      </c>
      <c r="AG39" s="98">
        <f t="shared" si="3"/>
      </c>
    </row>
    <row r="40" spans="1:33" ht="12.75">
      <c r="A40" s="112"/>
      <c r="B40" s="110"/>
      <c r="C40" s="54">
        <f t="shared" si="4"/>
      </c>
      <c r="D40" s="192">
        <f t="shared" si="14"/>
      </c>
      <c r="E40" s="193">
        <f t="shared" si="0"/>
      </c>
      <c r="F40" s="55">
        <f t="shared" si="5"/>
      </c>
      <c r="G40" s="195">
        <f t="shared" si="6"/>
      </c>
      <c r="H40" s="54">
        <f t="shared" si="15"/>
      </c>
      <c r="I40" s="203">
        <f t="shared" si="7"/>
      </c>
      <c r="J40" s="197">
        <f t="shared" si="1"/>
      </c>
      <c r="K40" s="198">
        <f t="shared" si="8"/>
      </c>
      <c r="L40" s="198">
        <f t="shared" si="9"/>
      </c>
      <c r="M40" s="199">
        <f t="shared" si="10"/>
      </c>
      <c r="N40" s="205">
        <f t="shared" si="2"/>
      </c>
      <c r="P40" s="114"/>
      <c r="Q40" s="12"/>
      <c r="V40" s="77">
        <f t="shared" si="11"/>
      </c>
      <c r="Z40" s="139">
        <f t="shared" si="12"/>
      </c>
      <c r="AB40" s="138">
        <f t="shared" si="13"/>
      </c>
      <c r="AG40" s="98">
        <f t="shared" si="3"/>
      </c>
    </row>
    <row r="41" spans="1:33" ht="12.75">
      <c r="A41" s="112"/>
      <c r="B41" s="110"/>
      <c r="C41" s="54">
        <f t="shared" si="4"/>
      </c>
      <c r="D41" s="192">
        <f t="shared" si="14"/>
      </c>
      <c r="E41" s="193">
        <f t="shared" si="0"/>
      </c>
      <c r="F41" s="55">
        <f t="shared" si="5"/>
      </c>
      <c r="G41" s="195">
        <f t="shared" si="6"/>
      </c>
      <c r="H41" s="54">
        <f t="shared" si="15"/>
      </c>
      <c r="I41" s="203">
        <f t="shared" si="7"/>
      </c>
      <c r="J41" s="197">
        <f t="shared" si="1"/>
      </c>
      <c r="K41" s="198">
        <f t="shared" si="8"/>
      </c>
      <c r="L41" s="198">
        <f t="shared" si="9"/>
      </c>
      <c r="M41" s="199">
        <f t="shared" si="10"/>
      </c>
      <c r="N41" s="205">
        <f t="shared" si="2"/>
      </c>
      <c r="P41" s="114"/>
      <c r="Q41" s="12"/>
      <c r="V41" s="77">
        <f t="shared" si="11"/>
      </c>
      <c r="W41" s="86"/>
      <c r="Y41" s="85"/>
      <c r="Z41" s="139">
        <f t="shared" si="12"/>
      </c>
      <c r="AA41" s="1"/>
      <c r="AB41" s="138">
        <f t="shared" si="13"/>
      </c>
      <c r="AG41" s="98">
        <f t="shared" si="3"/>
      </c>
    </row>
    <row r="42" spans="1:33" ht="12.75">
      <c r="A42" s="112"/>
      <c r="B42" s="110"/>
      <c r="C42" s="54">
        <f t="shared" si="4"/>
      </c>
      <c r="D42" s="192">
        <f t="shared" si="14"/>
      </c>
      <c r="E42" s="193">
        <f t="shared" si="0"/>
      </c>
      <c r="F42" s="55">
        <f t="shared" si="5"/>
      </c>
      <c r="G42" s="195">
        <f t="shared" si="6"/>
      </c>
      <c r="H42" s="54">
        <f t="shared" si="15"/>
      </c>
      <c r="I42" s="203">
        <f t="shared" si="7"/>
      </c>
      <c r="J42" s="197">
        <f t="shared" si="1"/>
      </c>
      <c r="K42" s="198">
        <f t="shared" si="8"/>
      </c>
      <c r="L42" s="198">
        <f t="shared" si="9"/>
      </c>
      <c r="M42" s="199">
        <f t="shared" si="10"/>
      </c>
      <c r="N42" s="205">
        <f t="shared" si="2"/>
      </c>
      <c r="P42" s="114"/>
      <c r="Q42" s="12"/>
      <c r="V42" s="77">
        <f t="shared" si="11"/>
      </c>
      <c r="Z42" s="139">
        <f t="shared" si="12"/>
      </c>
      <c r="AB42" s="138">
        <f t="shared" si="13"/>
      </c>
      <c r="AG42" s="98">
        <f t="shared" si="3"/>
      </c>
    </row>
    <row r="43" spans="1:33" ht="12.75">
      <c r="A43" s="112"/>
      <c r="B43" s="110"/>
      <c r="C43" s="54">
        <f t="shared" si="4"/>
      </c>
      <c r="D43" s="192">
        <f t="shared" si="14"/>
      </c>
      <c r="E43" s="193">
        <f t="shared" si="0"/>
      </c>
      <c r="F43" s="55">
        <f t="shared" si="5"/>
      </c>
      <c r="G43" s="195">
        <f t="shared" si="6"/>
      </c>
      <c r="H43" s="54">
        <f t="shared" si="15"/>
      </c>
      <c r="I43" s="203">
        <f t="shared" si="7"/>
      </c>
      <c r="J43" s="197">
        <f t="shared" si="1"/>
      </c>
      <c r="K43" s="198">
        <f t="shared" si="8"/>
      </c>
      <c r="L43" s="198">
        <f t="shared" si="9"/>
      </c>
      <c r="M43" s="199">
        <f t="shared" si="10"/>
      </c>
      <c r="N43" s="205">
        <f t="shared" si="2"/>
      </c>
      <c r="V43" s="77">
        <f t="shared" si="11"/>
      </c>
      <c r="Z43" s="139">
        <f t="shared" si="12"/>
      </c>
      <c r="AB43" s="138">
        <f t="shared" si="13"/>
      </c>
      <c r="AG43" s="98">
        <f t="shared" si="3"/>
      </c>
    </row>
    <row r="44" spans="1:33" ht="12.75">
      <c r="A44" s="112"/>
      <c r="B44" s="110"/>
      <c r="C44" s="54">
        <f t="shared" si="4"/>
      </c>
      <c r="D44" s="192">
        <f t="shared" si="14"/>
      </c>
      <c r="E44" s="193">
        <f t="shared" si="0"/>
      </c>
      <c r="F44" s="55">
        <f t="shared" si="5"/>
      </c>
      <c r="G44" s="195">
        <f t="shared" si="6"/>
      </c>
      <c r="H44" s="54">
        <f t="shared" si="15"/>
      </c>
      <c r="I44" s="203">
        <f t="shared" si="7"/>
      </c>
      <c r="J44" s="197">
        <f t="shared" si="1"/>
      </c>
      <c r="K44" s="198">
        <f t="shared" si="8"/>
      </c>
      <c r="L44" s="198">
        <f t="shared" si="9"/>
      </c>
      <c r="M44" s="199">
        <f t="shared" si="10"/>
      </c>
      <c r="N44" s="205">
        <f t="shared" si="2"/>
      </c>
      <c r="V44" s="77">
        <f t="shared" si="11"/>
      </c>
      <c r="Z44" s="139">
        <f t="shared" si="12"/>
      </c>
      <c r="AB44" s="138">
        <f t="shared" si="13"/>
      </c>
      <c r="AG44" s="98">
        <f t="shared" si="3"/>
      </c>
    </row>
    <row r="45" spans="1:33" ht="12.75">
      <c r="A45" s="112"/>
      <c r="B45" s="110"/>
      <c r="C45" s="54">
        <f t="shared" si="4"/>
      </c>
      <c r="D45" s="192">
        <f t="shared" si="14"/>
      </c>
      <c r="E45" s="193">
        <f t="shared" si="0"/>
      </c>
      <c r="F45" s="55">
        <f t="shared" si="5"/>
      </c>
      <c r="G45" s="195">
        <f t="shared" si="6"/>
      </c>
      <c r="H45" s="54">
        <f t="shared" si="15"/>
      </c>
      <c r="I45" s="203">
        <f t="shared" si="7"/>
      </c>
      <c r="J45" s="197">
        <f t="shared" si="1"/>
      </c>
      <c r="K45" s="198">
        <f t="shared" si="8"/>
      </c>
      <c r="L45" s="198">
        <f t="shared" si="9"/>
      </c>
      <c r="M45" s="199">
        <f t="shared" si="10"/>
      </c>
      <c r="N45" s="205">
        <f t="shared" si="2"/>
      </c>
      <c r="V45" s="77">
        <f t="shared" si="11"/>
      </c>
      <c r="Z45" s="139">
        <f t="shared" si="12"/>
      </c>
      <c r="AB45" s="138">
        <f t="shared" si="13"/>
      </c>
      <c r="AG45" s="98">
        <f t="shared" si="3"/>
      </c>
    </row>
    <row r="46" spans="1:33" ht="12.75">
      <c r="A46" s="112"/>
      <c r="B46" s="110"/>
      <c r="C46" s="54">
        <f t="shared" si="4"/>
      </c>
      <c r="D46" s="192">
        <f t="shared" si="14"/>
      </c>
      <c r="E46" s="193">
        <f t="shared" si="0"/>
      </c>
      <c r="F46" s="55">
        <f t="shared" si="5"/>
      </c>
      <c r="G46" s="195">
        <f t="shared" si="6"/>
      </c>
      <c r="H46" s="54">
        <f t="shared" si="15"/>
      </c>
      <c r="I46" s="203">
        <f t="shared" si="7"/>
      </c>
      <c r="J46" s="197">
        <f t="shared" si="1"/>
      </c>
      <c r="K46" s="198">
        <f t="shared" si="8"/>
      </c>
      <c r="L46" s="198">
        <f t="shared" si="9"/>
      </c>
      <c r="M46" s="199">
        <f t="shared" si="10"/>
      </c>
      <c r="N46" s="205">
        <f t="shared" si="2"/>
      </c>
      <c r="Q46" s="10"/>
      <c r="V46" s="77">
        <f t="shared" si="11"/>
      </c>
      <c r="Z46" s="139">
        <f t="shared" si="12"/>
      </c>
      <c r="AB46" s="138">
        <f t="shared" si="13"/>
      </c>
      <c r="AG46" s="98">
        <f t="shared" si="3"/>
      </c>
    </row>
    <row r="47" spans="1:33" ht="12.75">
      <c r="A47" s="112"/>
      <c r="B47" s="110"/>
      <c r="C47" s="54">
        <f t="shared" si="4"/>
      </c>
      <c r="D47" s="192">
        <f t="shared" si="14"/>
      </c>
      <c r="E47" s="193">
        <f t="shared" si="0"/>
      </c>
      <c r="F47" s="55">
        <f t="shared" si="5"/>
      </c>
      <c r="G47" s="195">
        <f t="shared" si="6"/>
      </c>
      <c r="H47" s="54">
        <f t="shared" si="15"/>
      </c>
      <c r="I47" s="203">
        <f t="shared" si="7"/>
      </c>
      <c r="J47" s="197">
        <f t="shared" si="1"/>
      </c>
      <c r="K47" s="198">
        <f t="shared" si="8"/>
      </c>
      <c r="L47" s="198">
        <f t="shared" si="9"/>
      </c>
      <c r="M47" s="199">
        <f t="shared" si="10"/>
      </c>
      <c r="N47" s="205">
        <f t="shared" si="2"/>
      </c>
      <c r="Q47" s="10"/>
      <c r="V47" s="77">
        <f t="shared" si="11"/>
      </c>
      <c r="Z47" s="139">
        <f t="shared" si="12"/>
      </c>
      <c r="AB47" s="138">
        <f t="shared" si="13"/>
      </c>
      <c r="AG47" s="98">
        <f t="shared" si="3"/>
      </c>
    </row>
    <row r="48" spans="1:33" ht="12.75">
      <c r="A48" s="112"/>
      <c r="B48" s="110"/>
      <c r="C48" s="54">
        <f t="shared" si="4"/>
      </c>
      <c r="D48" s="192">
        <f t="shared" si="14"/>
      </c>
      <c r="E48" s="193">
        <f t="shared" si="0"/>
      </c>
      <c r="F48" s="55">
        <f t="shared" si="5"/>
      </c>
      <c r="G48" s="195">
        <f t="shared" si="6"/>
      </c>
      <c r="H48" s="54">
        <f t="shared" si="15"/>
      </c>
      <c r="I48" s="203">
        <f t="shared" si="7"/>
      </c>
      <c r="J48" s="197">
        <f t="shared" si="1"/>
      </c>
      <c r="K48" s="198">
        <f t="shared" si="8"/>
      </c>
      <c r="L48" s="198">
        <f t="shared" si="9"/>
      </c>
      <c r="M48" s="199">
        <f t="shared" si="10"/>
      </c>
      <c r="N48" s="205">
        <f t="shared" si="2"/>
      </c>
      <c r="Q48" s="10"/>
      <c r="V48" s="77">
        <f t="shared" si="11"/>
      </c>
      <c r="Z48" s="139">
        <f t="shared" si="12"/>
      </c>
      <c r="AB48" s="138">
        <f t="shared" si="13"/>
      </c>
      <c r="AG48" s="98">
        <f t="shared" si="3"/>
      </c>
    </row>
    <row r="49" spans="1:33" ht="12.75">
      <c r="A49" s="112"/>
      <c r="B49" s="110"/>
      <c r="C49" s="54">
        <f t="shared" si="4"/>
      </c>
      <c r="D49" s="192">
        <f t="shared" si="14"/>
      </c>
      <c r="E49" s="193">
        <f t="shared" si="0"/>
      </c>
      <c r="F49" s="55">
        <f t="shared" si="5"/>
      </c>
      <c r="G49" s="195">
        <f t="shared" si="6"/>
      </c>
      <c r="H49" s="54">
        <f t="shared" si="15"/>
      </c>
      <c r="I49" s="203">
        <f t="shared" si="7"/>
      </c>
      <c r="J49" s="197">
        <f t="shared" si="1"/>
      </c>
      <c r="K49" s="198">
        <f t="shared" si="8"/>
      </c>
      <c r="L49" s="198">
        <f t="shared" si="9"/>
      </c>
      <c r="M49" s="199">
        <f t="shared" si="10"/>
      </c>
      <c r="N49" s="205">
        <f t="shared" si="2"/>
      </c>
      <c r="Q49" s="10"/>
      <c r="V49" s="77">
        <f t="shared" si="11"/>
      </c>
      <c r="Z49" s="139">
        <f t="shared" si="12"/>
      </c>
      <c r="AB49" s="138">
        <f t="shared" si="13"/>
      </c>
      <c r="AG49" s="98">
        <f t="shared" si="3"/>
      </c>
    </row>
    <row r="50" spans="1:33" ht="13.5" thickBot="1">
      <c r="A50" s="133"/>
      <c r="B50" s="134"/>
      <c r="C50" s="54">
        <f t="shared" si="4"/>
      </c>
      <c r="D50" s="190">
        <f t="shared" si="14"/>
      </c>
      <c r="E50" s="194">
        <f t="shared" si="0"/>
      </c>
      <c r="F50" s="55">
        <f t="shared" si="5"/>
      </c>
      <c r="G50" s="195">
        <f t="shared" si="6"/>
      </c>
      <c r="H50" s="54">
        <f t="shared" si="15"/>
      </c>
      <c r="I50" s="203">
        <f t="shared" si="7"/>
      </c>
      <c r="J50" s="197">
        <f t="shared" si="1"/>
      </c>
      <c r="K50" s="198">
        <f t="shared" si="8"/>
      </c>
      <c r="L50" s="198">
        <f t="shared" si="9"/>
      </c>
      <c r="M50" s="199">
        <f t="shared" si="10"/>
      </c>
      <c r="N50" s="205">
        <f t="shared" si="2"/>
      </c>
      <c r="Q50" s="10"/>
      <c r="V50" s="77">
        <f t="shared" si="11"/>
      </c>
      <c r="Z50" s="139">
        <f t="shared" si="12"/>
      </c>
      <c r="AB50" s="138">
        <f t="shared" si="13"/>
      </c>
      <c r="AG50" s="98">
        <f t="shared" si="3"/>
      </c>
    </row>
    <row r="51" spans="1:26" ht="12.75">
      <c r="A51" s="100" t="s">
        <v>46</v>
      </c>
      <c r="B51" s="179">
        <f>SUM(B21:B50)</f>
        <v>90.2</v>
      </c>
      <c r="C51" s="20"/>
      <c r="D51" s="181">
        <f>SUM(D21:D50)</f>
        <v>4510</v>
      </c>
      <c r="E51" s="180">
        <f>SUM(E21:E50)</f>
        <v>775.72</v>
      </c>
      <c r="F51" s="20"/>
      <c r="G51" s="101"/>
      <c r="H51" s="20"/>
      <c r="I51" s="182">
        <f>SUM(I21:I50)</f>
        <v>385</v>
      </c>
      <c r="J51" s="20"/>
      <c r="K51" s="136"/>
      <c r="L51" s="20"/>
      <c r="M51" s="20"/>
      <c r="N51" s="33"/>
      <c r="Z51" s="113"/>
    </row>
    <row r="52" spans="1:26" ht="15" thickBot="1">
      <c r="A52" s="5"/>
      <c r="B52" s="25" t="s">
        <v>12</v>
      </c>
      <c r="C52" s="6"/>
      <c r="D52" s="125" t="s">
        <v>48</v>
      </c>
      <c r="E52" s="126" t="s">
        <v>54</v>
      </c>
      <c r="F52" s="6"/>
      <c r="G52" s="6"/>
      <c r="H52" s="6"/>
      <c r="I52" s="25" t="s">
        <v>14</v>
      </c>
      <c r="J52" s="6"/>
      <c r="K52" s="6"/>
      <c r="L52" s="6"/>
      <c r="M52" s="6"/>
      <c r="N52" s="7"/>
      <c r="Z52" s="113"/>
    </row>
  </sheetData>
  <sheetProtection password="CC21" sheet="1" objects="1" scenarios="1"/>
  <mergeCells count="11">
    <mergeCell ref="A1:N1"/>
    <mergeCell ref="B4:I4"/>
    <mergeCell ref="L4:M4"/>
    <mergeCell ref="F13:G13"/>
    <mergeCell ref="M2:N2"/>
    <mergeCell ref="S14:T14"/>
    <mergeCell ref="AD14:AE14"/>
    <mergeCell ref="B6:I6"/>
    <mergeCell ref="L6:M6"/>
    <mergeCell ref="B8:I8"/>
    <mergeCell ref="L8:M8"/>
  </mergeCells>
  <conditionalFormatting sqref="D18 D21:D50">
    <cfRule type="expression" priority="1" dxfId="0" stopIfTrue="1">
      <formula>$B$21*$C$21</formula>
    </cfRule>
    <cfRule type="cellIs" priority="2" dxfId="0" operator="equal" stopIfTrue="1">
      <formula>$B$21*$C$21</formula>
    </cfRule>
  </conditionalFormatting>
  <conditionalFormatting sqref="H18 H21:H50">
    <cfRule type="expression" priority="3" dxfId="0" stopIfTrue="1">
      <formula>I18&gt;120</formula>
    </cfRule>
  </conditionalFormatting>
  <conditionalFormatting sqref="B21:B50">
    <cfRule type="expression" priority="4" dxfId="0" stopIfTrue="1">
      <formula>I21&gt;120</formula>
    </cfRule>
  </conditionalFormatting>
  <dataValidations count="8">
    <dataValidation type="list" allowBlank="1" showErrorMessage="1" promptTitle="Beskyttet Celle" prompt="&#10;Ingen indtastning." errorTitle="Beskyttet celle" sqref="D14">
      <formula1>"0,30,0,25"</formula1>
    </dataValidation>
    <dataValidation type="list" allowBlank="1" showInputMessage="1" showErrorMessage="1" sqref="D12">
      <formula1>"45,46,47,48,49,50,51,52,53,54,55"</formula1>
    </dataValidation>
    <dataValidation type="list" allowBlank="1" showInputMessage="1" showErrorMessage="1" sqref="D13">
      <formula1>"3,4,5,6,7,8,9,10"</formula1>
    </dataValidation>
    <dataValidation type="decimal" operator="equal" allowBlank="1" showInputMessage="1" showErrorMessage="1" promptTitle="Ingen indtastning." errorTitle="Beskyttet celle" sqref="D21:D50">
      <formula1>IF(B21="","",B21*C21)</formula1>
    </dataValidation>
    <dataValidation type="decimal" operator="equal" allowBlank="1" showInputMessage="1" showErrorMessage="1" promptTitle="Ingen indtastning." errorTitle="Beskyttet celle." sqref="E21:E50">
      <formula1>IF(B21="","",D21*0.86/$D$13)</formula1>
    </dataValidation>
    <dataValidation type="list" allowBlank="1" showInputMessage="1" showErrorMessage="1" sqref="F13:G13">
      <formula1>"PEX,ALUPEX"</formula1>
    </dataValidation>
    <dataValidation type="list" allowBlank="1" showDropDown="1" showInputMessage="1" showErrorMessage="1" sqref="F18 F21:F50">
      <formula1>""""",0,25,0,30"</formula1>
    </dataValidation>
    <dataValidation type="list" allowBlank="1" showDropDown="1" showInputMessage="1" showErrorMessage="1" sqref="C18 C21:C50">
      <formula1>"45,46,47,48,49,50,51,52,53,54,55"</formula1>
    </dataValidation>
  </dataValidations>
  <printOptions horizontalCentered="1" verticalCentered="1"/>
  <pageMargins left="0.4330708661417323" right="0.3937007874015748" top="1.8110236220472442" bottom="0.5118110236220472" header="0.5118110236220472" footer="0.5118110236220472"/>
  <pageSetup fitToHeight="1" fitToWidth="1" horizontalDpi="360" verticalDpi="360" orientation="portrait" paperSize="9" scale="85" r:id="rId5"/>
  <ignoredErrors>
    <ignoredError sqref="N21" evalError="1"/>
  </ignoredErrors>
  <drawing r:id="rId4"/>
  <legacyDrawing r:id="rId3"/>
  <oleObjects>
    <oleObject progId="MSPhotoEd.3" shapeId="4903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AG52"/>
  <sheetViews>
    <sheetView zoomScale="123" zoomScaleNormal="123" zoomScalePageLayoutView="0" workbookViewId="0" topLeftCell="A1">
      <selection activeCell="AK2" sqref="AK2"/>
    </sheetView>
  </sheetViews>
  <sheetFormatPr defaultColWidth="9.140625" defaultRowHeight="12.75"/>
  <cols>
    <col min="1" max="1" width="13.7109375" style="1" customWidth="1"/>
    <col min="2" max="2" width="6.8515625" style="1" customWidth="1"/>
    <col min="3" max="3" width="8.00390625" style="1" customWidth="1"/>
    <col min="4" max="4" width="7.57421875" style="85" customWidth="1"/>
    <col min="5" max="5" width="6.28125" style="85" customWidth="1"/>
    <col min="6" max="6" width="6.00390625" style="1" customWidth="1"/>
    <col min="7" max="7" width="8.140625" style="1" customWidth="1"/>
    <col min="8" max="8" width="8.7109375" style="1" customWidth="1"/>
    <col min="9" max="9" width="8.28125" style="1" customWidth="1"/>
    <col min="10" max="10" width="5.57421875" style="1" customWidth="1"/>
    <col min="11" max="11" width="8.28125" style="1" customWidth="1"/>
    <col min="12" max="12" width="9.140625" style="1" customWidth="1"/>
    <col min="13" max="13" width="8.7109375" style="1" customWidth="1"/>
    <col min="14" max="14" width="7.57421875" style="1" customWidth="1"/>
    <col min="15" max="15" width="2.421875" style="0" hidden="1" customWidth="1"/>
    <col min="16" max="16" width="0" style="1" hidden="1" customWidth="1"/>
    <col min="17" max="17" width="10.7109375" style="1" hidden="1" customWidth="1"/>
    <col min="18" max="18" width="2.7109375" style="0" hidden="1" customWidth="1"/>
    <col min="19" max="19" width="6.7109375" style="91" hidden="1" customWidth="1"/>
    <col min="20" max="20" width="5.7109375" style="91" hidden="1" customWidth="1"/>
    <col min="21" max="21" width="2.57421875" style="0" hidden="1" customWidth="1"/>
    <col min="22" max="22" width="0" style="74" hidden="1" customWidth="1"/>
    <col min="23" max="23" width="2.7109375" style="86" hidden="1" customWidth="1"/>
    <col min="24" max="24" width="2.8515625" style="1" hidden="1" customWidth="1"/>
    <col min="25" max="25" width="2.57421875" style="85" hidden="1" customWidth="1"/>
    <col min="26" max="26" width="11.57421875" style="1" hidden="1" customWidth="1"/>
    <col min="27" max="27" width="2.8515625" style="1" hidden="1" customWidth="1"/>
    <col min="28" max="28" width="13.00390625" style="1" hidden="1" customWidth="1"/>
    <col min="29" max="29" width="2.57421875" style="1" hidden="1" customWidth="1"/>
    <col min="30" max="30" width="7.8515625" style="1" hidden="1" customWidth="1"/>
    <col min="31" max="31" width="6.421875" style="1" hidden="1" customWidth="1"/>
    <col min="32" max="32" width="2.57421875" style="1" hidden="1" customWidth="1"/>
    <col min="33" max="34" width="0" style="1" hidden="1" customWidth="1"/>
    <col min="35" max="16384" width="9.140625" style="1" customWidth="1"/>
  </cols>
  <sheetData>
    <row r="1" spans="1:25" s="210" customFormat="1" ht="72" customHeight="1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209"/>
      <c r="R1" s="209"/>
      <c r="S1" s="211"/>
      <c r="T1" s="211"/>
      <c r="U1" s="209"/>
      <c r="V1" s="212"/>
      <c r="W1" s="213"/>
      <c r="Y1" s="214"/>
    </row>
    <row r="2" spans="1:14" ht="18.75" customHeight="1">
      <c r="A2" s="215" t="s">
        <v>69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43" t="s">
        <v>67</v>
      </c>
      <c r="N2" s="245"/>
    </row>
    <row r="3" spans="1:14" ht="29.25" customHeight="1">
      <c r="A3" s="38"/>
      <c r="B3" s="21"/>
      <c r="C3" s="21"/>
      <c r="D3" s="80"/>
      <c r="E3" s="80"/>
      <c r="F3" s="21"/>
      <c r="G3" s="21"/>
      <c r="H3" s="21"/>
      <c r="I3" s="21"/>
      <c r="J3" s="21"/>
      <c r="K3" s="21"/>
      <c r="L3" s="21"/>
      <c r="M3" s="21"/>
      <c r="N3" s="18"/>
    </row>
    <row r="4" spans="1:23" ht="12.75">
      <c r="A4" s="51" t="s">
        <v>39</v>
      </c>
      <c r="B4" s="237"/>
      <c r="C4" s="238"/>
      <c r="D4" s="238"/>
      <c r="E4" s="238"/>
      <c r="F4" s="238"/>
      <c r="G4" s="238"/>
      <c r="H4" s="238"/>
      <c r="I4" s="238"/>
      <c r="J4" s="35"/>
      <c r="K4" s="52" t="s">
        <v>42</v>
      </c>
      <c r="L4" s="237"/>
      <c r="M4" s="238"/>
      <c r="N4" s="18"/>
      <c r="V4" s="75"/>
      <c r="W4" s="87"/>
    </row>
    <row r="5" spans="1:23" ht="12.75">
      <c r="A5" s="38"/>
      <c r="B5" s="21"/>
      <c r="C5" s="21"/>
      <c r="D5" s="80"/>
      <c r="E5" s="80"/>
      <c r="F5" s="21"/>
      <c r="G5" s="21"/>
      <c r="H5" s="21"/>
      <c r="I5" s="21"/>
      <c r="J5" s="21"/>
      <c r="K5" s="21"/>
      <c r="L5" s="21"/>
      <c r="M5" s="21"/>
      <c r="N5" s="18"/>
      <c r="V5" s="75"/>
      <c r="W5" s="87"/>
    </row>
    <row r="6" spans="1:23" ht="12.75">
      <c r="A6" s="51" t="s">
        <v>40</v>
      </c>
      <c r="B6" s="237"/>
      <c r="C6" s="238"/>
      <c r="D6" s="238"/>
      <c r="E6" s="238"/>
      <c r="F6" s="238"/>
      <c r="G6" s="238"/>
      <c r="H6" s="238"/>
      <c r="I6" s="238"/>
      <c r="J6" s="21"/>
      <c r="K6" s="52" t="s">
        <v>43</v>
      </c>
      <c r="L6" s="237"/>
      <c r="M6" s="238"/>
      <c r="N6" s="18"/>
      <c r="V6" s="75"/>
      <c r="W6" s="87"/>
    </row>
    <row r="7" spans="1:23" ht="12.75">
      <c r="A7" s="38"/>
      <c r="B7" s="21"/>
      <c r="C7" s="21"/>
      <c r="D7" s="80"/>
      <c r="E7" s="80"/>
      <c r="F7" s="21"/>
      <c r="G7" s="21"/>
      <c r="H7" s="21"/>
      <c r="I7" s="21"/>
      <c r="J7" s="21"/>
      <c r="K7" s="21"/>
      <c r="L7" s="21"/>
      <c r="M7" s="21"/>
      <c r="N7" s="18"/>
      <c r="V7" s="75"/>
      <c r="W7" s="87"/>
    </row>
    <row r="8" spans="1:23" ht="12.75">
      <c r="A8" s="51" t="s">
        <v>41</v>
      </c>
      <c r="B8" s="237"/>
      <c r="C8" s="238"/>
      <c r="D8" s="238"/>
      <c r="E8" s="238"/>
      <c r="F8" s="238"/>
      <c r="G8" s="238"/>
      <c r="H8" s="238"/>
      <c r="I8" s="238"/>
      <c r="J8" s="21"/>
      <c r="K8" s="52" t="s">
        <v>47</v>
      </c>
      <c r="L8" s="239"/>
      <c r="M8" s="240"/>
      <c r="N8" s="18"/>
      <c r="V8" s="75"/>
      <c r="W8" s="87"/>
    </row>
    <row r="9" spans="1:23" ht="12.75">
      <c r="A9" s="38"/>
      <c r="B9" s="45"/>
      <c r="C9" s="45"/>
      <c r="D9" s="80"/>
      <c r="E9" s="80"/>
      <c r="F9" s="21"/>
      <c r="G9" s="21"/>
      <c r="H9" s="21"/>
      <c r="I9" s="21"/>
      <c r="J9" s="21"/>
      <c r="K9" s="21"/>
      <c r="L9" s="21"/>
      <c r="M9" s="21"/>
      <c r="N9" s="18"/>
      <c r="V9" s="75"/>
      <c r="W9" s="87"/>
    </row>
    <row r="10" spans="1:23" ht="13.5" thickBot="1">
      <c r="A10" s="5"/>
      <c r="B10" s="46"/>
      <c r="C10" s="46"/>
      <c r="D10" s="81"/>
      <c r="E10" s="81"/>
      <c r="F10" s="6"/>
      <c r="G10" s="6"/>
      <c r="H10" s="6"/>
      <c r="I10" s="6"/>
      <c r="J10" s="6"/>
      <c r="K10" s="6"/>
      <c r="L10" s="6"/>
      <c r="M10" s="6"/>
      <c r="N10" s="7"/>
      <c r="V10" s="75"/>
      <c r="W10" s="87"/>
    </row>
    <row r="11" spans="1:23" ht="13.5" thickBot="1">
      <c r="A11" s="88"/>
      <c r="B11" s="41" t="s">
        <v>32</v>
      </c>
      <c r="C11" s="42"/>
      <c r="D11" s="82"/>
      <c r="E11" s="82"/>
      <c r="F11" s="21"/>
      <c r="G11" s="21"/>
      <c r="H11" s="21"/>
      <c r="I11" s="21"/>
      <c r="J11" s="18"/>
      <c r="K11" s="42" t="s">
        <v>31</v>
      </c>
      <c r="L11" s="43"/>
      <c r="M11" s="43"/>
      <c r="N11" s="44"/>
      <c r="V11" s="75"/>
      <c r="W11" s="87"/>
    </row>
    <row r="12" spans="1:23" ht="15" thickBot="1">
      <c r="A12" s="88"/>
      <c r="B12" s="9" t="s">
        <v>18</v>
      </c>
      <c r="C12" s="21"/>
      <c r="D12" s="200">
        <v>50</v>
      </c>
      <c r="E12" s="80" t="s">
        <v>55</v>
      </c>
      <c r="F12" s="50" t="s">
        <v>34</v>
      </c>
      <c r="G12" s="20"/>
      <c r="H12" s="20" t="s">
        <v>38</v>
      </c>
      <c r="I12" s="20"/>
      <c r="J12" s="33"/>
      <c r="K12" s="34" t="s">
        <v>30</v>
      </c>
      <c r="L12" s="22"/>
      <c r="M12" s="206">
        <f>$I$16</f>
        <v>0</v>
      </c>
      <c r="N12" s="23" t="s">
        <v>14</v>
      </c>
      <c r="V12" s="75"/>
      <c r="W12" s="87"/>
    </row>
    <row r="13" spans="1:23" ht="15" customHeight="1">
      <c r="A13" s="88"/>
      <c r="B13" s="9" t="s">
        <v>19</v>
      </c>
      <c r="C13" s="21"/>
      <c r="D13" s="201">
        <v>5</v>
      </c>
      <c r="E13" s="80" t="s">
        <v>20</v>
      </c>
      <c r="F13" s="241" t="s">
        <v>44</v>
      </c>
      <c r="G13" s="242"/>
      <c r="H13" s="204">
        <f>IF(F13="PEX",20,IF(F13="ALUPEX","16"))</f>
        <v>20</v>
      </c>
      <c r="I13" s="21" t="s">
        <v>33</v>
      </c>
      <c r="J13" s="18"/>
      <c r="K13" s="35" t="s">
        <v>50</v>
      </c>
      <c r="L13" s="18"/>
      <c r="M13" s="207">
        <f>IF($B$51=0,0,$M$16)</f>
        <v>0</v>
      </c>
      <c r="N13" s="24" t="s">
        <v>57</v>
      </c>
      <c r="V13" s="75"/>
      <c r="W13" s="87"/>
    </row>
    <row r="14" spans="1:31" ht="13.5" thickBot="1">
      <c r="A14" s="89"/>
      <c r="B14" s="19" t="s">
        <v>35</v>
      </c>
      <c r="C14" s="6"/>
      <c r="D14" s="202">
        <v>0.3</v>
      </c>
      <c r="E14" s="81" t="s">
        <v>14</v>
      </c>
      <c r="F14" s="19"/>
      <c r="G14" s="6"/>
      <c r="H14" s="6"/>
      <c r="I14" s="6"/>
      <c r="J14" s="37"/>
      <c r="K14" s="36" t="s">
        <v>51</v>
      </c>
      <c r="L14" s="7"/>
      <c r="M14" s="208">
        <f>SUM(E21:E50)</f>
        <v>0</v>
      </c>
      <c r="N14" s="25" t="s">
        <v>13</v>
      </c>
      <c r="S14" s="236" t="s">
        <v>62</v>
      </c>
      <c r="T14" s="236"/>
      <c r="V14" s="75"/>
      <c r="W14" s="87"/>
      <c r="Y14" s="87"/>
      <c r="AA14" s="141"/>
      <c r="AD14" s="235" t="s">
        <v>63</v>
      </c>
      <c r="AE14" s="235"/>
    </row>
    <row r="15" spans="1:14" ht="13.5" hidden="1" thickBot="1">
      <c r="A15" s="26"/>
      <c r="B15" s="27"/>
      <c r="C15" s="27"/>
      <c r="D15" s="83"/>
      <c r="E15" s="83"/>
      <c r="F15" s="27"/>
      <c r="G15" s="27"/>
      <c r="H15" s="27"/>
      <c r="I15" s="27"/>
      <c r="J15" s="27"/>
      <c r="K15" s="27"/>
      <c r="L15" s="27"/>
      <c r="M15" s="27"/>
      <c r="N15" s="28"/>
    </row>
    <row r="16" spans="1:28" ht="13.5" hidden="1" thickBot="1">
      <c r="A16" s="26"/>
      <c r="B16" s="27"/>
      <c r="C16" s="27"/>
      <c r="D16" s="83"/>
      <c r="E16" s="83" t="e">
        <f>INDEX($E$21:$E$50,MATCH(MAX(AB21:AB50),$AB$21:$AB$50,0))</f>
        <v>#N/A</v>
      </c>
      <c r="F16" s="27"/>
      <c r="G16" s="27"/>
      <c r="H16" s="27"/>
      <c r="I16" s="29">
        <f>SUM(I21:I50)</f>
        <v>0</v>
      </c>
      <c r="J16" s="27" t="s">
        <v>21</v>
      </c>
      <c r="K16" s="83" t="e">
        <f>INDEX($K21:$K$50,MATCH(MAX(AB21:AB50),$AB$21:$AB$50,0))</f>
        <v>#N/A</v>
      </c>
      <c r="L16" s="47"/>
      <c r="M16" s="48">
        <f>IF($B$51=0,"",$K$16+$Z$16)</f>
      </c>
      <c r="N16" s="28"/>
      <c r="Z16" s="144" t="e">
        <f>INDEX($Z$21:$Z$50,MATCH(MAX(AB21:AB50),$AB$21:$AB$50,0))</f>
        <v>#N/A</v>
      </c>
      <c r="AB16" s="143">
        <f>MAX(AB21:AB50)</f>
        <v>0</v>
      </c>
    </row>
    <row r="17" spans="1:14" ht="12.75" hidden="1">
      <c r="A17" s="26"/>
      <c r="B17" s="27"/>
      <c r="C17" s="27"/>
      <c r="D17" s="83"/>
      <c r="E17" s="83"/>
      <c r="F17" s="27"/>
      <c r="G17" s="27"/>
      <c r="H17" s="27"/>
      <c r="I17" s="27"/>
      <c r="J17" s="30" t="s">
        <v>22</v>
      </c>
      <c r="K17" s="27"/>
      <c r="L17" s="27"/>
      <c r="M17" s="27"/>
      <c r="N17" s="28"/>
    </row>
    <row r="18" spans="1:25" ht="13.5" hidden="1" thickBot="1">
      <c r="A18" s="26"/>
      <c r="B18" s="39"/>
      <c r="C18" s="54">
        <f>IF(B18="","",$D$12)</f>
      </c>
      <c r="D18" s="69">
        <f>IF(B18="","",B18*C18)</f>
      </c>
      <c r="E18" s="69">
        <f>IF(B18="","",D18*0.86/$D$13)</f>
      </c>
      <c r="F18" s="55">
        <f>IF(B18="","",$D$14)</f>
      </c>
      <c r="G18" s="220">
        <f>(IF(B18="","",ROUNDUP((IF(F18=0.3,(PRODUCT(B18*3.3)))+IF(F18=0.25,(PRODUCT(B18*4)))),0)))</f>
      </c>
      <c r="H18" s="189">
        <f>IF(OR(B18="",I18=""),"",I18-G18)</f>
      </c>
      <c r="I18" s="188"/>
      <c r="J18" s="221">
        <f>IF(B18="","",IF(AND($F$13="PEX",I18&gt;120),$J$17,IF(AND($F$13="ALUPEX",I18&gt;100),$J$17,"")))</f>
      </c>
      <c r="K18" s="222">
        <f>IF(B18="","",IF($F$13="PEX",E18/1000/V18*E18/1000/V18*10*I18,IF($F$13="ALUPEX",E18/1000/AG18*E18/1000/AG18*10*I18,0)))</f>
      </c>
      <c r="L18" s="222">
        <f>IF(OR(B18="",I18=""),"",$M$16-K18)</f>
      </c>
      <c r="M18" s="223">
        <f>IF(OR(B18="",I18=""),"",E18/1000/SQRT(($M$16-K18)/10))</f>
      </c>
      <c r="N18" s="205">
        <f>IF(OR(B18="",I18=""),"",INDEX($P$21:$P$34,MATCH(M18,$Q$21:$Q$34,-1)))</f>
      </c>
      <c r="V18" s="87">
        <f>IF(B18="","",INDEX($S$23:$S$32,MATCH(E18,$T$23:$T$31,-1)))</f>
      </c>
      <c r="Y18" s="87"/>
    </row>
    <row r="19" spans="1:33" ht="12.75">
      <c r="A19" s="2" t="s">
        <v>0</v>
      </c>
      <c r="B19" s="3" t="s">
        <v>1</v>
      </c>
      <c r="C19" s="3" t="s">
        <v>2</v>
      </c>
      <c r="D19" s="84" t="s">
        <v>3</v>
      </c>
      <c r="E19" s="84" t="s">
        <v>4</v>
      </c>
      <c r="F19" s="3" t="s">
        <v>5</v>
      </c>
      <c r="G19" s="187" t="s">
        <v>6</v>
      </c>
      <c r="H19" s="3" t="s">
        <v>7</v>
      </c>
      <c r="I19" s="3" t="s">
        <v>8</v>
      </c>
      <c r="J19" s="3" t="s">
        <v>23</v>
      </c>
      <c r="K19" s="3" t="s">
        <v>9</v>
      </c>
      <c r="L19" s="3" t="s">
        <v>10</v>
      </c>
      <c r="M19" s="3" t="s">
        <v>11</v>
      </c>
      <c r="N19" s="4"/>
      <c r="P19" s="2" t="s">
        <v>24</v>
      </c>
      <c r="Q19" s="4" t="s">
        <v>25</v>
      </c>
      <c r="S19" s="96" t="s">
        <v>27</v>
      </c>
      <c r="T19" s="92" t="s">
        <v>28</v>
      </c>
      <c r="V19" s="78" t="s">
        <v>29</v>
      </c>
      <c r="Z19" s="142" t="s">
        <v>61</v>
      </c>
      <c r="AB19" s="99" t="s">
        <v>60</v>
      </c>
      <c r="AD19" s="149" t="s">
        <v>27</v>
      </c>
      <c r="AE19" s="149" t="s">
        <v>28</v>
      </c>
      <c r="AG19" s="149" t="s">
        <v>29</v>
      </c>
    </row>
    <row r="20" spans="1:33" ht="15" thickBot="1">
      <c r="A20" s="5"/>
      <c r="B20" s="6" t="s">
        <v>36</v>
      </c>
      <c r="C20" s="6" t="s">
        <v>49</v>
      </c>
      <c r="D20" s="81" t="s">
        <v>48</v>
      </c>
      <c r="E20" s="81" t="s">
        <v>13</v>
      </c>
      <c r="F20" s="6" t="s">
        <v>14</v>
      </c>
      <c r="G20" s="6" t="s">
        <v>14</v>
      </c>
      <c r="H20" s="81" t="s">
        <v>14</v>
      </c>
      <c r="I20" s="81" t="s">
        <v>14</v>
      </c>
      <c r="J20" s="68"/>
      <c r="K20" s="6" t="s">
        <v>57</v>
      </c>
      <c r="L20" s="6" t="s">
        <v>57</v>
      </c>
      <c r="M20" s="6" t="s">
        <v>58</v>
      </c>
      <c r="N20" s="7"/>
      <c r="P20" s="5" t="s">
        <v>15</v>
      </c>
      <c r="Q20" s="7" t="s">
        <v>37</v>
      </c>
      <c r="S20" s="97" t="s">
        <v>26</v>
      </c>
      <c r="T20" s="93" t="s">
        <v>13</v>
      </c>
      <c r="V20" s="79" t="s">
        <v>53</v>
      </c>
      <c r="X20" s="147"/>
      <c r="Z20" s="25" t="s">
        <v>59</v>
      </c>
      <c r="AB20" s="25" t="s">
        <v>59</v>
      </c>
      <c r="AD20" s="25" t="s">
        <v>26</v>
      </c>
      <c r="AE20" s="25" t="s">
        <v>13</v>
      </c>
      <c r="AG20" s="25" t="s">
        <v>53</v>
      </c>
    </row>
    <row r="21" spans="1:33" ht="13.5" thickBot="1">
      <c r="A21" s="111"/>
      <c r="B21" s="109"/>
      <c r="C21" s="54">
        <f>IF(B21="","",$D$12)</f>
      </c>
      <c r="D21" s="190">
        <f>IF(B21="","",B21*C21)</f>
      </c>
      <c r="E21" s="191">
        <f aca="true" t="shared" si="0" ref="E21:E50">IF(B21="","",D21*0.86/$D$13)</f>
      </c>
      <c r="F21" s="55">
        <f>IF(B21="","",$D$14)</f>
      </c>
      <c r="G21" s="195">
        <f>(IF(B21="","",ROUNDUP((IF(F21=0.3,(PRODUCT(B21*3.3)))+IF(F21=0.25,(PRODUCT(B21*4)))),0)))</f>
      </c>
      <c r="H21" s="196">
        <f aca="true" t="shared" si="1" ref="H21:H50">IF(OR(B21="",I21=""),"",I21-G21)</f>
      </c>
      <c r="I21" s="188"/>
      <c r="J21" s="197">
        <f aca="true" t="shared" si="2" ref="J21:J50">IF(B21="","",IF(AND($F$13="PEX",I21&gt;120),$J$17,IF(AND($F$13="ALUPEX",I21&gt;100),$J$17,"")))</f>
      </c>
      <c r="K21" s="198">
        <f>IF(B21="","",IF($F$13="PEX",E21/1000/V21*E21/1000/V21*10*I21,IF($F$13="ALUPEX",E21/1000/AG21*E21/1000/AG21*10*I21,0)))</f>
      </c>
      <c r="L21" s="198">
        <f>IF(OR(B21="",I21=""),"",$M$16-K21)</f>
      </c>
      <c r="M21" s="199">
        <f>IF(OR(B21="",I21=""),"",E21/1000/SQRT(($M$16-K21)/10))</f>
      </c>
      <c r="N21" s="205">
        <f aca="true" t="shared" si="3" ref="N21:N50">IF(OR(B21="",I21=""),"",INDEX($P$21:$P$34,MATCH(M21,$Q$21:$Q$34,-1)))</f>
      </c>
      <c r="P21" s="227" t="s">
        <v>68</v>
      </c>
      <c r="Q21" s="225">
        <v>1.09</v>
      </c>
      <c r="S21" s="153">
        <v>8</v>
      </c>
      <c r="T21" s="94">
        <v>720</v>
      </c>
      <c r="V21" s="77">
        <f>IF(B21="","",INDEX($S$21:$S$32,MATCH(E21,$T$21:$T$32,-1)))</f>
      </c>
      <c r="X21" s="145"/>
      <c r="Z21" s="137">
        <f>IF(B21="","",E21/1000/1.08*E21/1000/1.08*10)</f>
      </c>
      <c r="AB21" s="140">
        <f>IF(B21="","",SUM(K21,Z21))</f>
      </c>
      <c r="AC21" s="128"/>
      <c r="AD21" s="150">
        <v>3.6</v>
      </c>
      <c r="AE21" s="148">
        <v>720</v>
      </c>
      <c r="AG21" s="98">
        <f aca="true" t="shared" si="4" ref="AG21:AG50">IF(B21="","",INDEX($AD$21:$AD$32,MATCH(E21,$AE$21:$AE$32,-1)))</f>
      </c>
    </row>
    <row r="22" spans="1:33" ht="13.5" thickBot="1">
      <c r="A22" s="112"/>
      <c r="B22" s="109"/>
      <c r="C22" s="54">
        <f aca="true" t="shared" si="5" ref="C22:C50">IF(B22="","",$D$12)</f>
      </c>
      <c r="D22" s="190">
        <f>IF(B22="","",B22*C22)</f>
      </c>
      <c r="E22" s="191">
        <f t="shared" si="0"/>
      </c>
      <c r="F22" s="55">
        <f aca="true" t="shared" si="6" ref="F22:F50">IF(B22="","",$D$14)</f>
      </c>
      <c r="G22" s="195">
        <f aca="true" t="shared" si="7" ref="G22:G50">(IF(B22="","",ROUNDUP((IF(F22=0.3,(PRODUCT(B22*3.3)))+IF(F22=0.25,(PRODUCT(B22*4)))),0)))</f>
      </c>
      <c r="H22" s="196">
        <f t="shared" si="1"/>
      </c>
      <c r="I22" s="188"/>
      <c r="J22" s="197">
        <f t="shared" si="2"/>
      </c>
      <c r="K22" s="198">
        <f aca="true" t="shared" si="8" ref="K22:K50">IF(B22="","",IF($F$13="PEX",E22/1000/V22*E22/1000/V22*10*I22,IF($F$13="ALUPEX",E22/1000/AG22*E22/1000/AG22*10*I22,0)))</f>
      </c>
      <c r="L22" s="198">
        <f aca="true" t="shared" si="9" ref="L22:L50">IF(OR(B22="",I22=""),"",$M$16-K22)</f>
      </c>
      <c r="M22" s="199">
        <f aca="true" t="shared" si="10" ref="M22:M50">IF(OR(B22="",I22=""),"",E22/1000/SQRT(($M$16-K22)/10))</f>
      </c>
      <c r="N22" s="205">
        <f t="shared" si="3"/>
      </c>
      <c r="P22" s="226">
        <v>7</v>
      </c>
      <c r="Q22" s="225">
        <v>0.92</v>
      </c>
      <c r="S22" s="153">
        <v>7.6</v>
      </c>
      <c r="T22" s="94">
        <v>540</v>
      </c>
      <c r="V22" s="77">
        <f aca="true" t="shared" si="11" ref="V22:V50">IF(B22="","",INDEX($S$21:$S$32,MATCH(E22,$T$21:$T$31,-1)))</f>
      </c>
      <c r="X22" s="146"/>
      <c r="Z22" s="137">
        <f>IF(B22="","",E22/1000/1.08*E22/1000/1.08*10)</f>
      </c>
      <c r="AB22" s="138">
        <f aca="true" t="shared" si="12" ref="AB22:AB50">IF(B22="","",SUM(K22,Z22))</f>
      </c>
      <c r="AC22" s="128"/>
      <c r="AD22" s="151">
        <v>3.5</v>
      </c>
      <c r="AE22" s="148">
        <v>540</v>
      </c>
      <c r="AG22" s="98">
        <f t="shared" si="4"/>
      </c>
    </row>
    <row r="23" spans="1:33" ht="13.5" thickBot="1">
      <c r="A23" s="112"/>
      <c r="B23" s="109"/>
      <c r="C23" s="54">
        <f t="shared" si="5"/>
      </c>
      <c r="D23" s="192">
        <f aca="true" t="shared" si="13" ref="D23:D50">IF(B23="","",B23*C23)</f>
      </c>
      <c r="E23" s="193">
        <f t="shared" si="0"/>
      </c>
      <c r="F23" s="55">
        <f t="shared" si="6"/>
      </c>
      <c r="G23" s="195">
        <f t="shared" si="7"/>
      </c>
      <c r="H23" s="196">
        <f t="shared" si="1"/>
      </c>
      <c r="I23" s="188"/>
      <c r="J23" s="197">
        <f t="shared" si="2"/>
      </c>
      <c r="K23" s="198">
        <f t="shared" si="8"/>
      </c>
      <c r="L23" s="198">
        <f t="shared" si="9"/>
      </c>
      <c r="M23" s="199">
        <f t="shared" si="10"/>
      </c>
      <c r="N23" s="205">
        <f t="shared" si="3"/>
      </c>
      <c r="P23" s="225">
        <v>6.5</v>
      </c>
      <c r="Q23" s="225">
        <v>0.84</v>
      </c>
      <c r="S23" s="154">
        <v>7.5</v>
      </c>
      <c r="T23" s="95">
        <v>360</v>
      </c>
      <c r="V23" s="77">
        <f t="shared" si="11"/>
      </c>
      <c r="Z23" s="137">
        <f>IF(B23="","",E23/1000/1.08*E23/1000/1.08*10)</f>
      </c>
      <c r="AB23" s="138">
        <f t="shared" si="12"/>
      </c>
      <c r="AC23" s="128"/>
      <c r="AD23" s="151">
        <v>3.4</v>
      </c>
      <c r="AE23" s="148">
        <v>360</v>
      </c>
      <c r="AG23" s="98">
        <f t="shared" si="4"/>
      </c>
    </row>
    <row r="24" spans="1:33" ht="13.5" thickBot="1">
      <c r="A24" s="112"/>
      <c r="B24" s="109"/>
      <c r="C24" s="54">
        <f t="shared" si="5"/>
      </c>
      <c r="D24" s="192">
        <f t="shared" si="13"/>
      </c>
      <c r="E24" s="193">
        <f t="shared" si="0"/>
      </c>
      <c r="F24" s="55">
        <f t="shared" si="6"/>
      </c>
      <c r="G24" s="195">
        <f t="shared" si="7"/>
      </c>
      <c r="H24" s="196">
        <f t="shared" si="1"/>
      </c>
      <c r="I24" s="188"/>
      <c r="J24" s="197">
        <f t="shared" si="2"/>
      </c>
      <c r="K24" s="198">
        <f t="shared" si="8"/>
      </c>
      <c r="L24" s="198">
        <f t="shared" si="9"/>
      </c>
      <c r="M24" s="199">
        <f t="shared" si="10"/>
      </c>
      <c r="N24" s="205">
        <f t="shared" si="3"/>
      </c>
      <c r="P24" s="225">
        <v>6</v>
      </c>
      <c r="Q24" s="225">
        <v>0.76</v>
      </c>
      <c r="S24" s="153">
        <v>7.3</v>
      </c>
      <c r="T24" s="94">
        <v>324</v>
      </c>
      <c r="V24" s="77">
        <f t="shared" si="11"/>
      </c>
      <c r="Z24" s="137">
        <f>IF(B24="","",E24/1000/1.08*E24/1000/1.08*10)</f>
      </c>
      <c r="AB24" s="138">
        <f t="shared" si="12"/>
      </c>
      <c r="AC24" s="128"/>
      <c r="AD24" s="151">
        <v>3.3</v>
      </c>
      <c r="AE24" s="148">
        <v>324</v>
      </c>
      <c r="AG24" s="98">
        <f t="shared" si="4"/>
      </c>
    </row>
    <row r="25" spans="1:33" ht="13.5" thickBot="1">
      <c r="A25" s="112"/>
      <c r="B25" s="109"/>
      <c r="C25" s="54">
        <f t="shared" si="5"/>
      </c>
      <c r="D25" s="192">
        <f t="shared" si="13"/>
      </c>
      <c r="E25" s="193">
        <f t="shared" si="0"/>
      </c>
      <c r="F25" s="55">
        <f t="shared" si="6"/>
      </c>
      <c r="G25" s="195">
        <f t="shared" si="7"/>
      </c>
      <c r="H25" s="196">
        <f t="shared" si="1"/>
      </c>
      <c r="I25" s="188"/>
      <c r="J25" s="197">
        <f t="shared" si="2"/>
      </c>
      <c r="K25" s="198">
        <f t="shared" si="8"/>
      </c>
      <c r="L25" s="198">
        <f t="shared" si="9"/>
      </c>
      <c r="M25" s="199">
        <f t="shared" si="10"/>
      </c>
      <c r="N25" s="205">
        <f>IF(OR(B25="",I25=""),"",INDEX($P$21:$P$34,MATCH(M25,$Q$21:$Q$34,-1)))</f>
      </c>
      <c r="P25" s="225">
        <v>5.5</v>
      </c>
      <c r="Q25" s="225">
        <v>0.62</v>
      </c>
      <c r="S25" s="153">
        <v>7.2</v>
      </c>
      <c r="T25" s="94">
        <v>288</v>
      </c>
      <c r="V25" s="77">
        <f t="shared" si="11"/>
      </c>
      <c r="Z25" s="137">
        <f>IF(B25="","",E25/1000/1.08*E25/1000/1.08*10)</f>
      </c>
      <c r="AB25" s="138">
        <f t="shared" si="12"/>
      </c>
      <c r="AC25" s="128"/>
      <c r="AD25" s="151">
        <v>3.3</v>
      </c>
      <c r="AE25" s="148">
        <v>288</v>
      </c>
      <c r="AG25" s="98">
        <f t="shared" si="4"/>
      </c>
    </row>
    <row r="26" spans="1:33" ht="13.5" thickBot="1">
      <c r="A26" s="112"/>
      <c r="B26" s="109"/>
      <c r="C26" s="54">
        <f t="shared" si="5"/>
      </c>
      <c r="D26" s="192">
        <f t="shared" si="13"/>
      </c>
      <c r="E26" s="193">
        <f t="shared" si="0"/>
      </c>
      <c r="F26" s="55">
        <f t="shared" si="6"/>
      </c>
      <c r="G26" s="195">
        <f t="shared" si="7"/>
      </c>
      <c r="H26" s="196">
        <f t="shared" si="1"/>
      </c>
      <c r="I26" s="188"/>
      <c r="J26" s="197">
        <f t="shared" si="2"/>
      </c>
      <c r="K26" s="198">
        <f t="shared" si="8"/>
      </c>
      <c r="L26" s="198">
        <f t="shared" si="9"/>
      </c>
      <c r="M26" s="199">
        <f t="shared" si="10"/>
      </c>
      <c r="N26" s="205">
        <f t="shared" si="3"/>
      </c>
      <c r="P26" s="225">
        <v>5</v>
      </c>
      <c r="Q26" s="225">
        <v>0.51</v>
      </c>
      <c r="S26" s="153">
        <v>7.1</v>
      </c>
      <c r="T26" s="94">
        <v>252</v>
      </c>
      <c r="V26" s="77">
        <f t="shared" si="11"/>
      </c>
      <c r="Z26" s="137">
        <f aca="true" t="shared" si="14" ref="Z26:Z50">IF(B26="","",E26/1000/1.08*E26/1000/1.08*10)</f>
      </c>
      <c r="AB26" s="138">
        <f t="shared" si="12"/>
      </c>
      <c r="AC26" s="128"/>
      <c r="AD26" s="151">
        <v>3.2</v>
      </c>
      <c r="AE26" s="148">
        <v>252</v>
      </c>
      <c r="AG26" s="98">
        <f t="shared" si="4"/>
      </c>
    </row>
    <row r="27" spans="1:33" ht="13.5" thickBot="1">
      <c r="A27" s="112"/>
      <c r="B27" s="109"/>
      <c r="C27" s="54">
        <f t="shared" si="5"/>
      </c>
      <c r="D27" s="192">
        <f t="shared" si="13"/>
      </c>
      <c r="E27" s="193">
        <f t="shared" si="0"/>
      </c>
      <c r="F27" s="55">
        <f t="shared" si="6"/>
      </c>
      <c r="G27" s="195">
        <f t="shared" si="7"/>
      </c>
      <c r="H27" s="196">
        <f t="shared" si="1"/>
      </c>
      <c r="I27" s="188"/>
      <c r="J27" s="197">
        <f t="shared" si="2"/>
      </c>
      <c r="K27" s="198">
        <f t="shared" si="8"/>
      </c>
      <c r="L27" s="198">
        <f t="shared" si="9"/>
      </c>
      <c r="M27" s="199">
        <f t="shared" si="10"/>
      </c>
      <c r="N27" s="205">
        <f t="shared" si="3"/>
      </c>
      <c r="P27" s="225">
        <v>4.5</v>
      </c>
      <c r="Q27" s="225">
        <v>0.44</v>
      </c>
      <c r="S27" s="153">
        <v>6.8</v>
      </c>
      <c r="T27" s="94">
        <v>216</v>
      </c>
      <c r="V27" s="77">
        <f t="shared" si="11"/>
      </c>
      <c r="Z27" s="137">
        <f t="shared" si="14"/>
      </c>
      <c r="AB27" s="138">
        <f t="shared" si="12"/>
      </c>
      <c r="AC27" s="128"/>
      <c r="AD27" s="151">
        <v>3.1</v>
      </c>
      <c r="AE27" s="148">
        <v>216</v>
      </c>
      <c r="AG27" s="98">
        <f t="shared" si="4"/>
      </c>
    </row>
    <row r="28" spans="1:33" ht="13.5" thickBot="1">
      <c r="A28" s="112"/>
      <c r="B28" s="109"/>
      <c r="C28" s="54">
        <f t="shared" si="5"/>
      </c>
      <c r="D28" s="192">
        <f t="shared" si="13"/>
      </c>
      <c r="E28" s="193">
        <f t="shared" si="0"/>
      </c>
      <c r="F28" s="55">
        <f t="shared" si="6"/>
      </c>
      <c r="G28" s="195">
        <f t="shared" si="7"/>
      </c>
      <c r="H28" s="196">
        <f t="shared" si="1"/>
      </c>
      <c r="I28" s="188"/>
      <c r="J28" s="197">
        <f t="shared" si="2"/>
      </c>
      <c r="K28" s="198">
        <f t="shared" si="8"/>
      </c>
      <c r="L28" s="198">
        <f t="shared" si="9"/>
      </c>
      <c r="M28" s="199">
        <f t="shared" si="10"/>
      </c>
      <c r="N28" s="205">
        <f t="shared" si="3"/>
      </c>
      <c r="P28" s="225">
        <v>4</v>
      </c>
      <c r="Q28" s="225">
        <v>0.35</v>
      </c>
      <c r="S28" s="153">
        <v>6.7</v>
      </c>
      <c r="T28" s="94">
        <v>180</v>
      </c>
      <c r="V28" s="77">
        <f t="shared" si="11"/>
      </c>
      <c r="Z28" s="137">
        <f t="shared" si="14"/>
      </c>
      <c r="AB28" s="138">
        <f t="shared" si="12"/>
      </c>
      <c r="AC28" s="128"/>
      <c r="AD28" s="151">
        <v>3</v>
      </c>
      <c r="AE28" s="148">
        <v>180</v>
      </c>
      <c r="AG28" s="98">
        <f t="shared" si="4"/>
      </c>
    </row>
    <row r="29" spans="1:33" ht="13.5" thickBot="1">
      <c r="A29" s="112"/>
      <c r="B29" s="110"/>
      <c r="C29" s="54">
        <f t="shared" si="5"/>
      </c>
      <c r="D29" s="192">
        <f t="shared" si="13"/>
      </c>
      <c r="E29" s="193">
        <f t="shared" si="0"/>
      </c>
      <c r="F29" s="55">
        <f t="shared" si="6"/>
      </c>
      <c r="G29" s="195">
        <f t="shared" si="7"/>
      </c>
      <c r="H29" s="196">
        <f t="shared" si="1"/>
      </c>
      <c r="I29" s="188"/>
      <c r="J29" s="197">
        <f t="shared" si="2"/>
      </c>
      <c r="K29" s="198">
        <f t="shared" si="8"/>
      </c>
      <c r="L29" s="198">
        <f t="shared" si="9"/>
      </c>
      <c r="M29" s="199">
        <f t="shared" si="10"/>
      </c>
      <c r="N29" s="205">
        <f t="shared" si="3"/>
      </c>
      <c r="P29" s="225">
        <v>3.5</v>
      </c>
      <c r="Q29" s="225">
        <v>0.3</v>
      </c>
      <c r="S29" s="153">
        <v>6.5</v>
      </c>
      <c r="T29" s="94">
        <v>144</v>
      </c>
      <c r="V29" s="77">
        <f t="shared" si="11"/>
      </c>
      <c r="Z29" s="137">
        <f t="shared" si="14"/>
      </c>
      <c r="AB29" s="138">
        <f t="shared" si="12"/>
      </c>
      <c r="AC29" s="128"/>
      <c r="AD29" s="151">
        <v>2.9</v>
      </c>
      <c r="AE29" s="148">
        <v>144</v>
      </c>
      <c r="AG29" s="98">
        <f t="shared" si="4"/>
      </c>
    </row>
    <row r="30" spans="1:33" ht="13.5" thickBot="1">
      <c r="A30" s="112"/>
      <c r="B30" s="110"/>
      <c r="C30" s="54">
        <f t="shared" si="5"/>
      </c>
      <c r="D30" s="192">
        <f t="shared" si="13"/>
      </c>
      <c r="E30" s="193">
        <f t="shared" si="0"/>
      </c>
      <c r="F30" s="55">
        <f t="shared" si="6"/>
      </c>
      <c r="G30" s="195">
        <f t="shared" si="7"/>
      </c>
      <c r="H30" s="196">
        <f t="shared" si="1"/>
      </c>
      <c r="I30" s="188"/>
      <c r="J30" s="197">
        <f t="shared" si="2"/>
      </c>
      <c r="K30" s="198">
        <f t="shared" si="8"/>
      </c>
      <c r="L30" s="198">
        <f t="shared" si="9"/>
      </c>
      <c r="M30" s="199">
        <f t="shared" si="10"/>
      </c>
      <c r="N30" s="205">
        <f t="shared" si="3"/>
      </c>
      <c r="P30" s="225">
        <v>3</v>
      </c>
      <c r="Q30" s="225">
        <v>0.25</v>
      </c>
      <c r="S30" s="153">
        <v>6.3</v>
      </c>
      <c r="T30" s="94">
        <v>108</v>
      </c>
      <c r="V30" s="77">
        <f t="shared" si="11"/>
      </c>
      <c r="Z30" s="137">
        <f t="shared" si="14"/>
      </c>
      <c r="AB30" s="138">
        <f t="shared" si="12"/>
      </c>
      <c r="AC30" s="128"/>
      <c r="AD30" s="151">
        <v>2.8</v>
      </c>
      <c r="AE30" s="148">
        <v>108</v>
      </c>
      <c r="AG30" s="98">
        <f t="shared" si="4"/>
      </c>
    </row>
    <row r="31" spans="1:33" ht="13.5" thickBot="1">
      <c r="A31" s="112"/>
      <c r="B31" s="110"/>
      <c r="C31" s="54">
        <f t="shared" si="5"/>
      </c>
      <c r="D31" s="192">
        <f t="shared" si="13"/>
      </c>
      <c r="E31" s="193">
        <f t="shared" si="0"/>
      </c>
      <c r="F31" s="55">
        <f t="shared" si="6"/>
      </c>
      <c r="G31" s="195">
        <f t="shared" si="7"/>
      </c>
      <c r="H31" s="196">
        <f t="shared" si="1"/>
      </c>
      <c r="I31" s="188"/>
      <c r="J31" s="197">
        <f t="shared" si="2"/>
      </c>
      <c r="K31" s="198">
        <f t="shared" si="8"/>
      </c>
      <c r="L31" s="198">
        <f t="shared" si="9"/>
      </c>
      <c r="M31" s="199">
        <f t="shared" si="10"/>
      </c>
      <c r="N31" s="205">
        <f t="shared" si="3"/>
      </c>
      <c r="P31" s="225">
        <v>2.5</v>
      </c>
      <c r="Q31" s="225">
        <v>0.22</v>
      </c>
      <c r="S31" s="153">
        <v>6.2</v>
      </c>
      <c r="T31" s="94">
        <v>72</v>
      </c>
      <c r="V31" s="77">
        <f t="shared" si="11"/>
      </c>
      <c r="W31" s="85"/>
      <c r="Z31" s="137">
        <f t="shared" si="14"/>
      </c>
      <c r="AB31" s="138">
        <f t="shared" si="12"/>
      </c>
      <c r="AC31" s="128"/>
      <c r="AD31" s="152">
        <v>2.6</v>
      </c>
      <c r="AE31" s="148">
        <v>72</v>
      </c>
      <c r="AG31" s="98">
        <f t="shared" si="4"/>
      </c>
    </row>
    <row r="32" spans="1:33" ht="13.5" thickBot="1">
      <c r="A32" s="112"/>
      <c r="B32" s="110"/>
      <c r="C32" s="54">
        <f t="shared" si="5"/>
      </c>
      <c r="D32" s="192">
        <f t="shared" si="13"/>
      </c>
      <c r="E32" s="193">
        <f t="shared" si="0"/>
      </c>
      <c r="F32" s="55">
        <f t="shared" si="6"/>
      </c>
      <c r="G32" s="195">
        <f t="shared" si="7"/>
      </c>
      <c r="H32" s="196">
        <f t="shared" si="1"/>
      </c>
      <c r="I32" s="188"/>
      <c r="J32" s="197">
        <f t="shared" si="2"/>
      </c>
      <c r="K32" s="198">
        <f t="shared" si="8"/>
      </c>
      <c r="L32" s="198">
        <f t="shared" si="9"/>
      </c>
      <c r="M32" s="199">
        <f t="shared" si="10"/>
      </c>
      <c r="N32" s="205">
        <f t="shared" si="3"/>
      </c>
      <c r="P32" s="225">
        <v>2</v>
      </c>
      <c r="Q32" s="225">
        <v>0.19</v>
      </c>
      <c r="S32" s="153">
        <v>5.7</v>
      </c>
      <c r="T32" s="94">
        <v>32</v>
      </c>
      <c r="V32" s="77">
        <f t="shared" si="11"/>
      </c>
      <c r="Z32" s="137">
        <f t="shared" si="14"/>
      </c>
      <c r="AB32" s="138">
        <f t="shared" si="12"/>
      </c>
      <c r="AD32" s="151">
        <v>2.4</v>
      </c>
      <c r="AE32" s="148">
        <v>36</v>
      </c>
      <c r="AG32" s="98">
        <f t="shared" si="4"/>
      </c>
    </row>
    <row r="33" spans="1:33" ht="13.5" thickBot="1">
      <c r="A33" s="112"/>
      <c r="B33" s="110"/>
      <c r="C33" s="54">
        <f t="shared" si="5"/>
      </c>
      <c r="D33" s="192">
        <f t="shared" si="13"/>
      </c>
      <c r="E33" s="193">
        <f t="shared" si="0"/>
      </c>
      <c r="F33" s="55">
        <f t="shared" si="6"/>
      </c>
      <c r="G33" s="195">
        <f t="shared" si="7"/>
      </c>
      <c r="H33" s="196">
        <f t="shared" si="1"/>
      </c>
      <c r="I33" s="188"/>
      <c r="J33" s="197">
        <f t="shared" si="2"/>
      </c>
      <c r="K33" s="198">
        <f t="shared" si="8"/>
      </c>
      <c r="L33" s="198">
        <f t="shared" si="9"/>
      </c>
      <c r="M33" s="199">
        <f t="shared" si="10"/>
      </c>
      <c r="N33" s="205">
        <f t="shared" si="3"/>
      </c>
      <c r="P33" s="225">
        <v>1.5</v>
      </c>
      <c r="Q33" s="225">
        <v>0.15</v>
      </c>
      <c r="V33" s="77">
        <f t="shared" si="11"/>
      </c>
      <c r="Z33" s="137">
        <f t="shared" si="14"/>
      </c>
      <c r="AB33" s="138">
        <f t="shared" si="12"/>
      </c>
      <c r="AD33" s="27"/>
      <c r="AE33" s="27"/>
      <c r="AG33" s="98">
        <f t="shared" si="4"/>
      </c>
    </row>
    <row r="34" spans="1:33" ht="13.5" thickBot="1">
      <c r="A34" s="112"/>
      <c r="B34" s="110"/>
      <c r="C34" s="54">
        <f t="shared" si="5"/>
      </c>
      <c r="D34" s="192">
        <f t="shared" si="13"/>
      </c>
      <c r="E34" s="193">
        <f t="shared" si="0"/>
      </c>
      <c r="F34" s="55">
        <f t="shared" si="6"/>
      </c>
      <c r="G34" s="195">
        <f t="shared" si="7"/>
      </c>
      <c r="H34" s="196">
        <f t="shared" si="1"/>
      </c>
      <c r="I34" s="188"/>
      <c r="J34" s="197">
        <f t="shared" si="2"/>
      </c>
      <c r="K34" s="198">
        <f t="shared" si="8"/>
      </c>
      <c r="L34" s="198">
        <f t="shared" si="9"/>
      </c>
      <c r="M34" s="199">
        <f t="shared" si="10"/>
      </c>
      <c r="N34" s="205">
        <f t="shared" si="3"/>
      </c>
      <c r="P34" s="225">
        <v>1</v>
      </c>
      <c r="Q34" s="225">
        <v>0.13</v>
      </c>
      <c r="V34" s="77">
        <f t="shared" si="11"/>
      </c>
      <c r="Z34" s="137">
        <f t="shared" si="14"/>
      </c>
      <c r="AB34" s="138">
        <f t="shared" si="12"/>
      </c>
      <c r="AG34" s="98">
        <f t="shared" si="4"/>
      </c>
    </row>
    <row r="35" spans="1:33" ht="12.75">
      <c r="A35" s="112"/>
      <c r="B35" s="110"/>
      <c r="C35" s="54">
        <f t="shared" si="5"/>
      </c>
      <c r="D35" s="192">
        <f t="shared" si="13"/>
      </c>
      <c r="E35" s="193">
        <f t="shared" si="0"/>
      </c>
      <c r="F35" s="55">
        <f t="shared" si="6"/>
      </c>
      <c r="G35" s="195">
        <f t="shared" si="7"/>
      </c>
      <c r="H35" s="196">
        <f t="shared" si="1"/>
      </c>
      <c r="I35" s="188"/>
      <c r="J35" s="197">
        <f t="shared" si="2"/>
      </c>
      <c r="K35" s="198">
        <f t="shared" si="8"/>
      </c>
      <c r="L35" s="198">
        <f t="shared" si="9"/>
      </c>
      <c r="M35" s="199">
        <f t="shared" si="10"/>
      </c>
      <c r="N35" s="205">
        <f t="shared" si="3"/>
      </c>
      <c r="P35" s="114"/>
      <c r="Q35" s="12"/>
      <c r="V35" s="77">
        <f t="shared" si="11"/>
      </c>
      <c r="Z35" s="137">
        <f t="shared" si="14"/>
      </c>
      <c r="AB35" s="138">
        <f t="shared" si="12"/>
      </c>
      <c r="AG35" s="98">
        <f t="shared" si="4"/>
      </c>
    </row>
    <row r="36" spans="1:33" ht="12.75">
      <c r="A36" s="112"/>
      <c r="B36" s="110"/>
      <c r="C36" s="54">
        <f t="shared" si="5"/>
      </c>
      <c r="D36" s="192">
        <f t="shared" si="13"/>
      </c>
      <c r="E36" s="193">
        <f t="shared" si="0"/>
      </c>
      <c r="F36" s="55">
        <f t="shared" si="6"/>
      </c>
      <c r="G36" s="195">
        <f t="shared" si="7"/>
      </c>
      <c r="H36" s="196">
        <f t="shared" si="1"/>
      </c>
      <c r="I36" s="188"/>
      <c r="J36" s="197">
        <f t="shared" si="2"/>
      </c>
      <c r="K36" s="198">
        <f t="shared" si="8"/>
      </c>
      <c r="L36" s="198">
        <f t="shared" si="9"/>
      </c>
      <c r="M36" s="199">
        <f t="shared" si="10"/>
      </c>
      <c r="N36" s="205">
        <f t="shared" si="3"/>
      </c>
      <c r="P36" s="114"/>
      <c r="Q36" s="12"/>
      <c r="V36" s="77">
        <f t="shared" si="11"/>
      </c>
      <c r="Z36" s="137">
        <f t="shared" si="14"/>
      </c>
      <c r="AB36" s="138">
        <f t="shared" si="12"/>
      </c>
      <c r="AG36" s="98">
        <f t="shared" si="4"/>
      </c>
    </row>
    <row r="37" spans="1:33" ht="12.75">
      <c r="A37" s="112"/>
      <c r="B37" s="110"/>
      <c r="C37" s="54">
        <f t="shared" si="5"/>
      </c>
      <c r="D37" s="192">
        <f t="shared" si="13"/>
      </c>
      <c r="E37" s="193">
        <f t="shared" si="0"/>
      </c>
      <c r="F37" s="55">
        <f t="shared" si="6"/>
      </c>
      <c r="G37" s="195">
        <f t="shared" si="7"/>
      </c>
      <c r="H37" s="196">
        <f t="shared" si="1"/>
      </c>
      <c r="I37" s="188"/>
      <c r="J37" s="197">
        <f t="shared" si="2"/>
      </c>
      <c r="K37" s="198">
        <f t="shared" si="8"/>
      </c>
      <c r="L37" s="198">
        <f t="shared" si="9"/>
      </c>
      <c r="M37" s="199">
        <f t="shared" si="10"/>
      </c>
      <c r="N37" s="205">
        <f t="shared" si="3"/>
      </c>
      <c r="P37" s="114"/>
      <c r="Q37" s="12"/>
      <c r="V37" s="77">
        <f t="shared" si="11"/>
      </c>
      <c r="Z37" s="137">
        <f t="shared" si="14"/>
      </c>
      <c r="AB37" s="138">
        <f t="shared" si="12"/>
      </c>
      <c r="AG37" s="98">
        <f t="shared" si="4"/>
      </c>
    </row>
    <row r="38" spans="1:33" ht="12.75">
      <c r="A38" s="112"/>
      <c r="B38" s="110"/>
      <c r="C38" s="54">
        <f t="shared" si="5"/>
      </c>
      <c r="D38" s="192">
        <f t="shared" si="13"/>
      </c>
      <c r="E38" s="193">
        <f t="shared" si="0"/>
      </c>
      <c r="F38" s="55">
        <f t="shared" si="6"/>
      </c>
      <c r="G38" s="195">
        <f t="shared" si="7"/>
      </c>
      <c r="H38" s="196">
        <f t="shared" si="1"/>
      </c>
      <c r="I38" s="188"/>
      <c r="J38" s="197">
        <f t="shared" si="2"/>
      </c>
      <c r="K38" s="198">
        <f t="shared" si="8"/>
      </c>
      <c r="L38" s="198">
        <f t="shared" si="9"/>
      </c>
      <c r="M38" s="199">
        <f t="shared" si="10"/>
      </c>
      <c r="N38" s="205">
        <f t="shared" si="3"/>
      </c>
      <c r="P38" s="114"/>
      <c r="Q38" s="12"/>
      <c r="V38" s="77">
        <f t="shared" si="11"/>
      </c>
      <c r="Z38" s="137">
        <f t="shared" si="14"/>
      </c>
      <c r="AB38" s="138">
        <f t="shared" si="12"/>
      </c>
      <c r="AG38" s="98">
        <f t="shared" si="4"/>
      </c>
    </row>
    <row r="39" spans="1:33" ht="12.75">
      <c r="A39" s="112"/>
      <c r="B39" s="110"/>
      <c r="C39" s="54">
        <f t="shared" si="5"/>
      </c>
      <c r="D39" s="192">
        <f t="shared" si="13"/>
      </c>
      <c r="E39" s="193">
        <f t="shared" si="0"/>
      </c>
      <c r="F39" s="55">
        <f t="shared" si="6"/>
      </c>
      <c r="G39" s="195">
        <f t="shared" si="7"/>
      </c>
      <c r="H39" s="196">
        <f t="shared" si="1"/>
      </c>
      <c r="I39" s="188"/>
      <c r="J39" s="197">
        <f t="shared" si="2"/>
      </c>
      <c r="K39" s="198">
        <f t="shared" si="8"/>
      </c>
      <c r="L39" s="198">
        <f t="shared" si="9"/>
      </c>
      <c r="M39" s="199">
        <f t="shared" si="10"/>
      </c>
      <c r="N39" s="205">
        <f t="shared" si="3"/>
      </c>
      <c r="P39" s="114"/>
      <c r="Q39" s="12"/>
      <c r="V39" s="77">
        <f t="shared" si="11"/>
      </c>
      <c r="Z39" s="137">
        <f t="shared" si="14"/>
      </c>
      <c r="AB39" s="138">
        <f t="shared" si="12"/>
      </c>
      <c r="AG39" s="98">
        <f t="shared" si="4"/>
      </c>
    </row>
    <row r="40" spans="1:33" ht="12.75">
      <c r="A40" s="112"/>
      <c r="B40" s="110"/>
      <c r="C40" s="54">
        <f t="shared" si="5"/>
      </c>
      <c r="D40" s="192">
        <f t="shared" si="13"/>
      </c>
      <c r="E40" s="193">
        <f t="shared" si="0"/>
      </c>
      <c r="F40" s="55">
        <f t="shared" si="6"/>
      </c>
      <c r="G40" s="195">
        <f t="shared" si="7"/>
      </c>
      <c r="H40" s="196">
        <f t="shared" si="1"/>
      </c>
      <c r="I40" s="188"/>
      <c r="J40" s="197">
        <f t="shared" si="2"/>
      </c>
      <c r="K40" s="198">
        <f t="shared" si="8"/>
      </c>
      <c r="L40" s="198">
        <f t="shared" si="9"/>
      </c>
      <c r="M40" s="199">
        <f t="shared" si="10"/>
      </c>
      <c r="N40" s="205">
        <f t="shared" si="3"/>
      </c>
      <c r="P40" s="114"/>
      <c r="Q40" s="12"/>
      <c r="V40" s="77">
        <f t="shared" si="11"/>
      </c>
      <c r="Z40" s="137">
        <f t="shared" si="14"/>
      </c>
      <c r="AB40" s="138">
        <f t="shared" si="12"/>
      </c>
      <c r="AG40" s="98">
        <f t="shared" si="4"/>
      </c>
    </row>
    <row r="41" spans="1:33" ht="12.75">
      <c r="A41" s="112"/>
      <c r="B41" s="110"/>
      <c r="C41" s="54">
        <f t="shared" si="5"/>
      </c>
      <c r="D41" s="192">
        <f t="shared" si="13"/>
      </c>
      <c r="E41" s="193">
        <f t="shared" si="0"/>
      </c>
      <c r="F41" s="55">
        <f t="shared" si="6"/>
      </c>
      <c r="G41" s="195">
        <f t="shared" si="7"/>
      </c>
      <c r="H41" s="196">
        <f t="shared" si="1"/>
      </c>
      <c r="I41" s="188"/>
      <c r="J41" s="197">
        <f t="shared" si="2"/>
      </c>
      <c r="K41" s="198">
        <f t="shared" si="8"/>
      </c>
      <c r="L41" s="198">
        <f t="shared" si="9"/>
      </c>
      <c r="M41" s="199">
        <f t="shared" si="10"/>
      </c>
      <c r="N41" s="205">
        <f t="shared" si="3"/>
      </c>
      <c r="P41" s="114"/>
      <c r="Q41" s="12"/>
      <c r="V41" s="77">
        <f t="shared" si="11"/>
      </c>
      <c r="W41" s="86"/>
      <c r="Y41" s="85"/>
      <c r="Z41" s="137">
        <f t="shared" si="14"/>
      </c>
      <c r="AA41" s="1"/>
      <c r="AB41" s="138">
        <f t="shared" si="12"/>
      </c>
      <c r="AG41" s="98">
        <f t="shared" si="4"/>
      </c>
    </row>
    <row r="42" spans="1:33" ht="12.75">
      <c r="A42" s="112"/>
      <c r="B42" s="110"/>
      <c r="C42" s="54">
        <f t="shared" si="5"/>
      </c>
      <c r="D42" s="192">
        <f t="shared" si="13"/>
      </c>
      <c r="E42" s="193">
        <f t="shared" si="0"/>
      </c>
      <c r="F42" s="55">
        <f t="shared" si="6"/>
      </c>
      <c r="G42" s="195">
        <f t="shared" si="7"/>
      </c>
      <c r="H42" s="196">
        <f t="shared" si="1"/>
      </c>
      <c r="I42" s="188"/>
      <c r="J42" s="197">
        <f t="shared" si="2"/>
      </c>
      <c r="K42" s="198">
        <f t="shared" si="8"/>
      </c>
      <c r="L42" s="198">
        <f t="shared" si="9"/>
      </c>
      <c r="M42" s="199">
        <f t="shared" si="10"/>
      </c>
      <c r="N42" s="205">
        <f t="shared" si="3"/>
      </c>
      <c r="P42" s="114"/>
      <c r="Q42" s="12"/>
      <c r="V42" s="77">
        <f t="shared" si="11"/>
      </c>
      <c r="Z42" s="137">
        <f t="shared" si="14"/>
      </c>
      <c r="AB42" s="138">
        <f t="shared" si="12"/>
      </c>
      <c r="AG42" s="98">
        <f t="shared" si="4"/>
      </c>
    </row>
    <row r="43" spans="1:33" ht="12.75">
      <c r="A43" s="112"/>
      <c r="B43" s="110"/>
      <c r="C43" s="54">
        <f t="shared" si="5"/>
      </c>
      <c r="D43" s="192">
        <f t="shared" si="13"/>
      </c>
      <c r="E43" s="193">
        <f t="shared" si="0"/>
      </c>
      <c r="F43" s="55">
        <f t="shared" si="6"/>
      </c>
      <c r="G43" s="195">
        <f t="shared" si="7"/>
      </c>
      <c r="H43" s="196">
        <f t="shared" si="1"/>
      </c>
      <c r="I43" s="188"/>
      <c r="J43" s="197">
        <f t="shared" si="2"/>
      </c>
      <c r="K43" s="198">
        <f t="shared" si="8"/>
      </c>
      <c r="L43" s="198">
        <f t="shared" si="9"/>
      </c>
      <c r="M43" s="199">
        <f t="shared" si="10"/>
      </c>
      <c r="N43" s="205">
        <f t="shared" si="3"/>
      </c>
      <c r="V43" s="77">
        <f t="shared" si="11"/>
      </c>
      <c r="Z43" s="137">
        <f t="shared" si="14"/>
      </c>
      <c r="AB43" s="138">
        <f t="shared" si="12"/>
      </c>
      <c r="AG43" s="98">
        <f t="shared" si="4"/>
      </c>
    </row>
    <row r="44" spans="1:33" ht="12.75">
      <c r="A44" s="112"/>
      <c r="B44" s="110"/>
      <c r="C44" s="54">
        <f t="shared" si="5"/>
      </c>
      <c r="D44" s="192">
        <f t="shared" si="13"/>
      </c>
      <c r="E44" s="193">
        <f t="shared" si="0"/>
      </c>
      <c r="F44" s="55">
        <f t="shared" si="6"/>
      </c>
      <c r="G44" s="195">
        <f t="shared" si="7"/>
      </c>
      <c r="H44" s="196">
        <f t="shared" si="1"/>
      </c>
      <c r="I44" s="188"/>
      <c r="J44" s="197">
        <f t="shared" si="2"/>
      </c>
      <c r="K44" s="198">
        <f t="shared" si="8"/>
      </c>
      <c r="L44" s="198">
        <f t="shared" si="9"/>
      </c>
      <c r="M44" s="199">
        <f t="shared" si="10"/>
      </c>
      <c r="N44" s="205">
        <f t="shared" si="3"/>
      </c>
      <c r="V44" s="77">
        <f t="shared" si="11"/>
      </c>
      <c r="Z44" s="137">
        <f t="shared" si="14"/>
      </c>
      <c r="AB44" s="138">
        <f t="shared" si="12"/>
      </c>
      <c r="AG44" s="98">
        <f t="shared" si="4"/>
      </c>
    </row>
    <row r="45" spans="1:33" ht="12.75">
      <c r="A45" s="112"/>
      <c r="B45" s="110"/>
      <c r="C45" s="54">
        <f t="shared" si="5"/>
      </c>
      <c r="D45" s="192">
        <f t="shared" si="13"/>
      </c>
      <c r="E45" s="193">
        <f t="shared" si="0"/>
      </c>
      <c r="F45" s="55">
        <f t="shared" si="6"/>
      </c>
      <c r="G45" s="195">
        <f t="shared" si="7"/>
      </c>
      <c r="H45" s="196">
        <f t="shared" si="1"/>
      </c>
      <c r="I45" s="188"/>
      <c r="J45" s="197">
        <f t="shared" si="2"/>
      </c>
      <c r="K45" s="198">
        <f t="shared" si="8"/>
      </c>
      <c r="L45" s="198">
        <f t="shared" si="9"/>
      </c>
      <c r="M45" s="199">
        <f t="shared" si="10"/>
      </c>
      <c r="N45" s="205">
        <f t="shared" si="3"/>
      </c>
      <c r="V45" s="77">
        <f t="shared" si="11"/>
      </c>
      <c r="Z45" s="137">
        <f t="shared" si="14"/>
      </c>
      <c r="AB45" s="138">
        <f t="shared" si="12"/>
      </c>
      <c r="AG45" s="98">
        <f t="shared" si="4"/>
      </c>
    </row>
    <row r="46" spans="1:33" ht="12.75">
      <c r="A46" s="112"/>
      <c r="B46" s="110"/>
      <c r="C46" s="54">
        <f t="shared" si="5"/>
      </c>
      <c r="D46" s="192">
        <f t="shared" si="13"/>
      </c>
      <c r="E46" s="193">
        <f t="shared" si="0"/>
      </c>
      <c r="F46" s="55">
        <f t="shared" si="6"/>
      </c>
      <c r="G46" s="195">
        <f t="shared" si="7"/>
      </c>
      <c r="H46" s="196">
        <f t="shared" si="1"/>
      </c>
      <c r="I46" s="188"/>
      <c r="J46" s="197">
        <f t="shared" si="2"/>
      </c>
      <c r="K46" s="198">
        <f t="shared" si="8"/>
      </c>
      <c r="L46" s="198">
        <f t="shared" si="9"/>
      </c>
      <c r="M46" s="199">
        <f t="shared" si="10"/>
      </c>
      <c r="N46" s="205">
        <f t="shared" si="3"/>
      </c>
      <c r="Q46" s="10"/>
      <c r="V46" s="77">
        <f t="shared" si="11"/>
      </c>
      <c r="Z46" s="137">
        <f t="shared" si="14"/>
      </c>
      <c r="AB46" s="138">
        <f t="shared" si="12"/>
      </c>
      <c r="AG46" s="98">
        <f t="shared" si="4"/>
      </c>
    </row>
    <row r="47" spans="1:33" ht="12.75">
      <c r="A47" s="112"/>
      <c r="B47" s="110"/>
      <c r="C47" s="54">
        <f t="shared" si="5"/>
      </c>
      <c r="D47" s="192">
        <f t="shared" si="13"/>
      </c>
      <c r="E47" s="193">
        <f t="shared" si="0"/>
      </c>
      <c r="F47" s="55">
        <f t="shared" si="6"/>
      </c>
      <c r="G47" s="195">
        <f t="shared" si="7"/>
      </c>
      <c r="H47" s="196">
        <f t="shared" si="1"/>
      </c>
      <c r="I47" s="188"/>
      <c r="J47" s="197">
        <f t="shared" si="2"/>
      </c>
      <c r="K47" s="198">
        <f t="shared" si="8"/>
      </c>
      <c r="L47" s="198">
        <f t="shared" si="9"/>
      </c>
      <c r="M47" s="199">
        <f t="shared" si="10"/>
      </c>
      <c r="N47" s="205">
        <f t="shared" si="3"/>
      </c>
      <c r="Q47" s="10"/>
      <c r="V47" s="77">
        <f t="shared" si="11"/>
      </c>
      <c r="Z47" s="137">
        <f t="shared" si="14"/>
      </c>
      <c r="AB47" s="138">
        <f t="shared" si="12"/>
      </c>
      <c r="AG47" s="98">
        <f t="shared" si="4"/>
      </c>
    </row>
    <row r="48" spans="1:33" ht="12.75">
      <c r="A48" s="112"/>
      <c r="B48" s="110"/>
      <c r="C48" s="54">
        <f t="shared" si="5"/>
      </c>
      <c r="D48" s="192">
        <f t="shared" si="13"/>
      </c>
      <c r="E48" s="193">
        <f t="shared" si="0"/>
      </c>
      <c r="F48" s="55">
        <f t="shared" si="6"/>
      </c>
      <c r="G48" s="195">
        <f t="shared" si="7"/>
      </c>
      <c r="H48" s="196">
        <f t="shared" si="1"/>
      </c>
      <c r="I48" s="188"/>
      <c r="J48" s="197">
        <f t="shared" si="2"/>
      </c>
      <c r="K48" s="198">
        <f t="shared" si="8"/>
      </c>
      <c r="L48" s="198">
        <f t="shared" si="9"/>
      </c>
      <c r="M48" s="199">
        <f t="shared" si="10"/>
      </c>
      <c r="N48" s="205">
        <f t="shared" si="3"/>
      </c>
      <c r="Q48" s="10"/>
      <c r="V48" s="77">
        <f t="shared" si="11"/>
      </c>
      <c r="Z48" s="137">
        <f t="shared" si="14"/>
      </c>
      <c r="AB48" s="138">
        <f t="shared" si="12"/>
      </c>
      <c r="AG48" s="98">
        <f t="shared" si="4"/>
      </c>
    </row>
    <row r="49" spans="1:33" ht="12.75">
      <c r="A49" s="112"/>
      <c r="B49" s="110"/>
      <c r="C49" s="54">
        <f t="shared" si="5"/>
      </c>
      <c r="D49" s="192">
        <f t="shared" si="13"/>
      </c>
      <c r="E49" s="193">
        <f t="shared" si="0"/>
      </c>
      <c r="F49" s="55">
        <f t="shared" si="6"/>
      </c>
      <c r="G49" s="195">
        <f t="shared" si="7"/>
      </c>
      <c r="H49" s="196">
        <f t="shared" si="1"/>
      </c>
      <c r="I49" s="188"/>
      <c r="J49" s="197">
        <f t="shared" si="2"/>
      </c>
      <c r="K49" s="198">
        <f t="shared" si="8"/>
      </c>
      <c r="L49" s="198">
        <f t="shared" si="9"/>
      </c>
      <c r="M49" s="199">
        <f t="shared" si="10"/>
      </c>
      <c r="N49" s="205">
        <f t="shared" si="3"/>
      </c>
      <c r="Q49" s="10"/>
      <c r="V49" s="77">
        <f t="shared" si="11"/>
      </c>
      <c r="Z49" s="137">
        <f t="shared" si="14"/>
      </c>
      <c r="AB49" s="138">
        <f t="shared" si="12"/>
      </c>
      <c r="AG49" s="98">
        <f t="shared" si="4"/>
      </c>
    </row>
    <row r="50" spans="1:33" ht="13.5" thickBot="1">
      <c r="A50" s="133"/>
      <c r="B50" s="134"/>
      <c r="C50" s="54">
        <f t="shared" si="5"/>
      </c>
      <c r="D50" s="190">
        <f t="shared" si="13"/>
      </c>
      <c r="E50" s="194">
        <f t="shared" si="0"/>
      </c>
      <c r="F50" s="55">
        <f t="shared" si="6"/>
      </c>
      <c r="G50" s="195">
        <f t="shared" si="7"/>
      </c>
      <c r="H50" s="196">
        <f t="shared" si="1"/>
      </c>
      <c r="I50" s="188"/>
      <c r="J50" s="197">
        <f t="shared" si="2"/>
      </c>
      <c r="K50" s="198">
        <f t="shared" si="8"/>
      </c>
      <c r="L50" s="198">
        <f t="shared" si="9"/>
      </c>
      <c r="M50" s="199">
        <f t="shared" si="10"/>
      </c>
      <c r="N50" s="205">
        <f t="shared" si="3"/>
      </c>
      <c r="Q50" s="10"/>
      <c r="V50" s="77">
        <f t="shared" si="11"/>
      </c>
      <c r="Z50" s="137">
        <f t="shared" si="14"/>
      </c>
      <c r="AB50" s="138">
        <f t="shared" si="12"/>
      </c>
      <c r="AG50" s="98">
        <f t="shared" si="4"/>
      </c>
    </row>
    <row r="51" spans="1:26" ht="12.75">
      <c r="A51" s="100" t="s">
        <v>46</v>
      </c>
      <c r="B51" s="179">
        <f>SUM(B21:B50)</f>
        <v>0</v>
      </c>
      <c r="C51" s="20"/>
      <c r="D51" s="181">
        <f>SUM(D21:D50)</f>
        <v>0</v>
      </c>
      <c r="E51" s="180">
        <f>SUM(E21:E50)</f>
        <v>0</v>
      </c>
      <c r="F51" s="20"/>
      <c r="G51" s="101"/>
      <c r="H51" s="20"/>
      <c r="I51" s="182">
        <f>SUM(I21:I50)</f>
        <v>0</v>
      </c>
      <c r="J51" s="20"/>
      <c r="K51" s="136"/>
      <c r="L51" s="20"/>
      <c r="M51" s="20"/>
      <c r="N51" s="33"/>
      <c r="Z51" s="113"/>
    </row>
    <row r="52" spans="1:26" ht="15" thickBot="1">
      <c r="A52" s="5"/>
      <c r="B52" s="25" t="s">
        <v>12</v>
      </c>
      <c r="C52" s="6"/>
      <c r="D52" s="125" t="s">
        <v>48</v>
      </c>
      <c r="E52" s="126" t="s">
        <v>54</v>
      </c>
      <c r="F52" s="6"/>
      <c r="G52" s="6"/>
      <c r="H52" s="6"/>
      <c r="I52" s="25" t="s">
        <v>14</v>
      </c>
      <c r="J52" s="6"/>
      <c r="K52" s="6"/>
      <c r="L52" s="6"/>
      <c r="M52" s="6"/>
      <c r="N52" s="7"/>
      <c r="Z52" s="113"/>
    </row>
  </sheetData>
  <sheetProtection password="CC21" sheet="1" objects="1" scenarios="1"/>
  <mergeCells count="11">
    <mergeCell ref="L8:M8"/>
    <mergeCell ref="S14:T14"/>
    <mergeCell ref="AD14:AE14"/>
    <mergeCell ref="F13:G13"/>
    <mergeCell ref="B8:I8"/>
    <mergeCell ref="A1:N1"/>
    <mergeCell ref="B4:I4"/>
    <mergeCell ref="B6:I6"/>
    <mergeCell ref="L4:M4"/>
    <mergeCell ref="L6:M6"/>
    <mergeCell ref="M2:N2"/>
  </mergeCells>
  <conditionalFormatting sqref="D18 D21:D50">
    <cfRule type="expression" priority="1" dxfId="0" stopIfTrue="1">
      <formula>$B$21*$C$21</formula>
    </cfRule>
    <cfRule type="cellIs" priority="2" dxfId="0" operator="equal" stopIfTrue="1">
      <formula>$B$21*$C$21</formula>
    </cfRule>
  </conditionalFormatting>
  <conditionalFormatting sqref="H18 H21:H50">
    <cfRule type="expression" priority="3" dxfId="0" stopIfTrue="1">
      <formula>I18&gt;120</formula>
    </cfRule>
  </conditionalFormatting>
  <conditionalFormatting sqref="B21:B50">
    <cfRule type="expression" priority="4" dxfId="0" stopIfTrue="1">
      <formula>I21&gt;120</formula>
    </cfRule>
  </conditionalFormatting>
  <dataValidations count="9">
    <dataValidation type="list" allowBlank="1" showErrorMessage="1" promptTitle="Beskyttet Celle" prompt="&#10;Ingen indtastning." errorTitle="Beskyttet celle" sqref="D14">
      <formula1>"0,30,0,25"</formula1>
    </dataValidation>
    <dataValidation type="list" allowBlank="1" showInputMessage="1" showErrorMessage="1" sqref="D12">
      <formula1>"45,46,47,48,49,50,51,52,53,54,55"</formula1>
    </dataValidation>
    <dataValidation type="list" allowBlank="1" showInputMessage="1" showErrorMessage="1" sqref="D13">
      <formula1>"3,4,5,6,7,8,9,10"</formula1>
    </dataValidation>
    <dataValidation type="decimal" operator="equal" allowBlank="1" showInputMessage="1" showErrorMessage="1" promptTitle="Ingen indtastning." errorTitle="Beskyttet celle" sqref="D21:D50">
      <formula1>IF(B21="","",B21*C21)</formula1>
    </dataValidation>
    <dataValidation type="decimal" operator="equal" allowBlank="1" showInputMessage="1" showErrorMessage="1" promptTitle="Ingen indtastning." errorTitle="Beskyttet celle." sqref="E21:E50">
      <formula1>IF(B21="","",D21*0.86/$D$13)</formula1>
    </dataValidation>
    <dataValidation type="list" allowBlank="1" showInputMessage="1" showErrorMessage="1" sqref="F13:G13">
      <formula1>"PEX,ALUPEX"</formula1>
    </dataValidation>
    <dataValidation type="whole" operator="equal" allowBlank="1" showInputMessage="1" showErrorMessage="1" sqref="H18 H21:H50">
      <formula1>IF(OR(B18="",I18=""),"",I18-G18)</formula1>
    </dataValidation>
    <dataValidation type="list" allowBlank="1" showDropDown="1" showInputMessage="1" showErrorMessage="1" sqref="F18 F21:F50">
      <formula1>""""", 0,25,0,30"</formula1>
    </dataValidation>
    <dataValidation type="list" allowBlank="1" showDropDown="1" showInputMessage="1" showErrorMessage="1" sqref="C18 C21:C50">
      <formula1>"45,46,47,48,49,50,51,52,53,54,55"</formula1>
    </dataValidation>
  </dataValidations>
  <printOptions horizontalCentered="1" verticalCentered="1"/>
  <pageMargins left="0.7874015748031497" right="0.3937007874015748" top="2.5590551181102366" bottom="0.5118110236220472" header="0.5118110236220472" footer="0.5118110236220472"/>
  <pageSetup fitToHeight="1" fitToWidth="1" horizontalDpi="360" verticalDpi="360" orientation="portrait" paperSize="9" scale="81" r:id="rId5"/>
  <drawing r:id="rId4"/>
  <legacyDrawing r:id="rId3"/>
  <oleObjects>
    <oleObject progId="MSPhotoEd.3" shapeId="121222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G52"/>
  <sheetViews>
    <sheetView zoomScale="123" zoomScaleNormal="123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6.8515625" style="1" customWidth="1"/>
    <col min="3" max="3" width="8.00390625" style="1" customWidth="1"/>
    <col min="4" max="4" width="7.57421875" style="85" customWidth="1"/>
    <col min="5" max="5" width="6.28125" style="85" customWidth="1"/>
    <col min="6" max="6" width="6.00390625" style="1" customWidth="1"/>
    <col min="7" max="7" width="8.140625" style="1" customWidth="1"/>
    <col min="8" max="8" width="8.7109375" style="1" customWidth="1"/>
    <col min="9" max="9" width="8.28125" style="1" customWidth="1"/>
    <col min="10" max="10" width="5.57421875" style="1" customWidth="1"/>
    <col min="11" max="11" width="8.28125" style="1" customWidth="1"/>
    <col min="12" max="12" width="9.140625" style="1" customWidth="1"/>
    <col min="13" max="13" width="8.7109375" style="1" customWidth="1"/>
    <col min="14" max="14" width="7.57421875" style="1" customWidth="1"/>
    <col min="15" max="15" width="2.421875" style="0" hidden="1" customWidth="1"/>
    <col min="16" max="16" width="0" style="1" hidden="1" customWidth="1"/>
    <col min="17" max="17" width="10.7109375" style="1" hidden="1" customWidth="1"/>
    <col min="18" max="18" width="2.7109375" style="0" hidden="1" customWidth="1"/>
    <col min="19" max="19" width="6.7109375" style="91" hidden="1" customWidth="1"/>
    <col min="20" max="20" width="5.7109375" style="91" hidden="1" customWidth="1"/>
    <col min="21" max="21" width="2.57421875" style="0" hidden="1" customWidth="1"/>
    <col min="22" max="22" width="0" style="74" hidden="1" customWidth="1"/>
    <col min="23" max="23" width="2.7109375" style="86" hidden="1" customWidth="1"/>
    <col min="24" max="24" width="2.8515625" style="1" hidden="1" customWidth="1"/>
    <col min="25" max="25" width="2.57421875" style="85" hidden="1" customWidth="1"/>
    <col min="26" max="26" width="11.57421875" style="1" hidden="1" customWidth="1"/>
    <col min="27" max="27" width="2.8515625" style="1" hidden="1" customWidth="1"/>
    <col min="28" max="28" width="13.00390625" style="1" hidden="1" customWidth="1"/>
    <col min="29" max="29" width="2.57421875" style="1" hidden="1" customWidth="1"/>
    <col min="30" max="30" width="7.8515625" style="1" hidden="1" customWidth="1"/>
    <col min="31" max="31" width="6.421875" style="1" hidden="1" customWidth="1"/>
    <col min="32" max="32" width="2.57421875" style="1" hidden="1" customWidth="1"/>
    <col min="33" max="34" width="0" style="1" hidden="1" customWidth="1"/>
    <col min="35" max="16384" width="9.140625" style="1" customWidth="1"/>
  </cols>
  <sheetData>
    <row r="1" spans="1:25" s="210" customFormat="1" ht="72" customHeight="1">
      <c r="A1" s="229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  <c r="O1" s="209"/>
      <c r="R1" s="209"/>
      <c r="S1" s="211"/>
      <c r="T1" s="211"/>
      <c r="U1" s="209"/>
      <c r="V1" s="212"/>
      <c r="W1" s="213"/>
      <c r="Y1" s="214"/>
    </row>
    <row r="2" spans="1:14" ht="18.75" customHeight="1">
      <c r="A2" s="215" t="s">
        <v>69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43" t="s">
        <v>67</v>
      </c>
      <c r="N2" s="244"/>
    </row>
    <row r="3" spans="1:14" ht="29.25" customHeight="1">
      <c r="A3" s="38"/>
      <c r="B3" s="21"/>
      <c r="C3" s="21"/>
      <c r="D3" s="80"/>
      <c r="E3" s="80"/>
      <c r="F3" s="21"/>
      <c r="G3" s="21"/>
      <c r="H3" s="21"/>
      <c r="I3" s="21"/>
      <c r="J3" s="21"/>
      <c r="K3" s="21"/>
      <c r="L3" s="21"/>
      <c r="M3" s="21"/>
      <c r="N3" s="18"/>
    </row>
    <row r="4" spans="1:23" ht="12.75">
      <c r="A4" s="51" t="s">
        <v>39</v>
      </c>
      <c r="B4" s="237" t="s">
        <v>78</v>
      </c>
      <c r="C4" s="238"/>
      <c r="D4" s="238"/>
      <c r="E4" s="238"/>
      <c r="F4" s="238"/>
      <c r="G4" s="238"/>
      <c r="H4" s="238"/>
      <c r="I4" s="238"/>
      <c r="J4" s="35"/>
      <c r="K4" s="52" t="s">
        <v>42</v>
      </c>
      <c r="L4" s="237"/>
      <c r="M4" s="238"/>
      <c r="N4" s="18"/>
      <c r="V4" s="75"/>
      <c r="W4" s="87"/>
    </row>
    <row r="5" spans="1:23" ht="12.75">
      <c r="A5" s="38"/>
      <c r="B5" s="21"/>
      <c r="C5" s="21"/>
      <c r="D5" s="80"/>
      <c r="E5" s="80"/>
      <c r="F5" s="21"/>
      <c r="G5" s="21"/>
      <c r="H5" s="21"/>
      <c r="I5" s="21"/>
      <c r="J5" s="21"/>
      <c r="K5" s="21"/>
      <c r="L5" s="21"/>
      <c r="M5" s="21"/>
      <c r="N5" s="18"/>
      <c r="V5" s="75"/>
      <c r="W5" s="87"/>
    </row>
    <row r="6" spans="1:23" ht="12.75">
      <c r="A6" s="51" t="s">
        <v>40</v>
      </c>
      <c r="B6" s="237"/>
      <c r="C6" s="238"/>
      <c r="D6" s="238"/>
      <c r="E6" s="238"/>
      <c r="F6" s="238"/>
      <c r="G6" s="238"/>
      <c r="H6" s="238"/>
      <c r="I6" s="238"/>
      <c r="J6" s="21"/>
      <c r="K6" s="52" t="s">
        <v>43</v>
      </c>
      <c r="L6" s="237"/>
      <c r="M6" s="238"/>
      <c r="N6" s="18"/>
      <c r="V6" s="75"/>
      <c r="W6" s="87"/>
    </row>
    <row r="7" spans="1:23" ht="12.75">
      <c r="A7" s="38"/>
      <c r="B7" s="21"/>
      <c r="C7" s="21"/>
      <c r="D7" s="80"/>
      <c r="E7" s="80"/>
      <c r="F7" s="21"/>
      <c r="G7" s="21"/>
      <c r="H7" s="21"/>
      <c r="I7" s="21"/>
      <c r="J7" s="21"/>
      <c r="K7" s="21"/>
      <c r="L7" s="21"/>
      <c r="M7" s="21"/>
      <c r="N7" s="18"/>
      <c r="V7" s="75"/>
      <c r="W7" s="87"/>
    </row>
    <row r="8" spans="1:23" ht="12.75">
      <c r="A8" s="51" t="s">
        <v>41</v>
      </c>
      <c r="B8" s="237"/>
      <c r="C8" s="238"/>
      <c r="D8" s="238"/>
      <c r="E8" s="238"/>
      <c r="F8" s="238"/>
      <c r="G8" s="238"/>
      <c r="H8" s="238"/>
      <c r="I8" s="238"/>
      <c r="J8" s="21"/>
      <c r="K8" s="52" t="s">
        <v>47</v>
      </c>
      <c r="L8" s="239"/>
      <c r="M8" s="240"/>
      <c r="N8" s="18"/>
      <c r="V8" s="75"/>
      <c r="W8" s="87"/>
    </row>
    <row r="9" spans="1:23" ht="12.75">
      <c r="A9" s="38"/>
      <c r="B9" s="45"/>
      <c r="C9" s="45"/>
      <c r="D9" s="80"/>
      <c r="E9" s="80"/>
      <c r="F9" s="21"/>
      <c r="G9" s="21"/>
      <c r="H9" s="21"/>
      <c r="I9" s="21"/>
      <c r="J9" s="21"/>
      <c r="K9" s="21"/>
      <c r="L9" s="21"/>
      <c r="M9" s="21"/>
      <c r="N9" s="18"/>
      <c r="V9" s="75"/>
      <c r="W9" s="87"/>
    </row>
    <row r="10" spans="1:23" ht="13.5" thickBot="1">
      <c r="A10" s="5"/>
      <c r="B10" s="46"/>
      <c r="C10" s="46"/>
      <c r="D10" s="81"/>
      <c r="E10" s="81"/>
      <c r="F10" s="6"/>
      <c r="G10" s="6"/>
      <c r="H10" s="6"/>
      <c r="I10" s="6"/>
      <c r="J10" s="6"/>
      <c r="K10" s="6"/>
      <c r="L10" s="6"/>
      <c r="M10" s="6"/>
      <c r="N10" s="7"/>
      <c r="V10" s="75"/>
      <c r="W10" s="87"/>
    </row>
    <row r="11" spans="1:23" ht="13.5" thickBot="1">
      <c r="A11" s="88"/>
      <c r="B11" s="41" t="s">
        <v>32</v>
      </c>
      <c r="C11" s="42"/>
      <c r="D11" s="82"/>
      <c r="E11" s="82"/>
      <c r="F11" s="21"/>
      <c r="G11" s="21"/>
      <c r="H11" s="21"/>
      <c r="I11" s="21"/>
      <c r="J11" s="18"/>
      <c r="K11" s="42" t="s">
        <v>31</v>
      </c>
      <c r="L11" s="43"/>
      <c r="M11" s="43"/>
      <c r="N11" s="44"/>
      <c r="V11" s="75"/>
      <c r="W11" s="87"/>
    </row>
    <row r="12" spans="1:23" ht="15" thickBot="1">
      <c r="A12" s="88"/>
      <c r="B12" s="9" t="s">
        <v>18</v>
      </c>
      <c r="C12" s="21"/>
      <c r="D12" s="200">
        <v>50</v>
      </c>
      <c r="E12" s="80" t="s">
        <v>55</v>
      </c>
      <c r="F12" s="50" t="s">
        <v>34</v>
      </c>
      <c r="G12" s="20"/>
      <c r="H12" s="20" t="s">
        <v>38</v>
      </c>
      <c r="I12" s="20"/>
      <c r="J12" s="33"/>
      <c r="K12" s="34" t="s">
        <v>30</v>
      </c>
      <c r="L12" s="22"/>
      <c r="M12" s="206">
        <f>$I$16</f>
        <v>299</v>
      </c>
      <c r="N12" s="23" t="s">
        <v>14</v>
      </c>
      <c r="V12" s="75"/>
      <c r="W12" s="87"/>
    </row>
    <row r="13" spans="1:23" ht="15" customHeight="1">
      <c r="A13" s="88"/>
      <c r="B13" s="9" t="s">
        <v>19</v>
      </c>
      <c r="C13" s="21"/>
      <c r="D13" s="201">
        <v>5</v>
      </c>
      <c r="E13" s="80" t="s">
        <v>20</v>
      </c>
      <c r="F13" s="241" t="s">
        <v>44</v>
      </c>
      <c r="G13" s="242"/>
      <c r="H13" s="204">
        <f>IF(F13="PEX",20,IF(F13="ALUPEX","16"))</f>
        <v>20</v>
      </c>
      <c r="I13" s="21" t="s">
        <v>33</v>
      </c>
      <c r="J13" s="18"/>
      <c r="K13" s="35" t="s">
        <v>50</v>
      </c>
      <c r="L13" s="18"/>
      <c r="M13" s="207">
        <f>IF($B$51=0,0,$M$16)</f>
        <v>3.668247378910507</v>
      </c>
      <c r="N13" s="24" t="s">
        <v>57</v>
      </c>
      <c r="V13" s="75"/>
      <c r="W13" s="87"/>
    </row>
    <row r="14" spans="1:31" ht="13.5" thickBot="1">
      <c r="A14" s="89"/>
      <c r="B14" s="19" t="s">
        <v>35</v>
      </c>
      <c r="C14" s="6"/>
      <c r="D14" s="202">
        <v>0.3</v>
      </c>
      <c r="E14" s="81" t="s">
        <v>14</v>
      </c>
      <c r="F14" s="19"/>
      <c r="G14" s="6"/>
      <c r="H14" s="6"/>
      <c r="I14" s="6"/>
      <c r="J14" s="37"/>
      <c r="K14" s="36" t="s">
        <v>51</v>
      </c>
      <c r="L14" s="7"/>
      <c r="M14" s="208">
        <f>SUM(E21:E50)</f>
        <v>614.04</v>
      </c>
      <c r="N14" s="25" t="s">
        <v>13</v>
      </c>
      <c r="S14" s="236" t="s">
        <v>62</v>
      </c>
      <c r="T14" s="236"/>
      <c r="V14" s="75"/>
      <c r="W14" s="87"/>
      <c r="Y14" s="87"/>
      <c r="AA14" s="141"/>
      <c r="AD14" s="235" t="s">
        <v>63</v>
      </c>
      <c r="AE14" s="235"/>
    </row>
    <row r="15" spans="1:14" ht="13.5" hidden="1" thickBot="1">
      <c r="A15" s="26"/>
      <c r="B15" s="27"/>
      <c r="C15" s="27"/>
      <c r="D15" s="83"/>
      <c r="E15" s="83"/>
      <c r="F15" s="27"/>
      <c r="G15" s="27"/>
      <c r="H15" s="27"/>
      <c r="I15" s="27"/>
      <c r="J15" s="27"/>
      <c r="K15" s="27"/>
      <c r="L15" s="27"/>
      <c r="M15" s="27"/>
      <c r="N15" s="28"/>
    </row>
    <row r="16" spans="1:28" ht="13.5" hidden="1" thickBot="1">
      <c r="A16" s="26"/>
      <c r="B16" s="27"/>
      <c r="C16" s="27"/>
      <c r="D16" s="83"/>
      <c r="E16" s="83">
        <f>INDEX($E$21:$E$50,MATCH(MAX(AB21:AB50),$AB$21:$AB$50,0))</f>
        <v>325.94</v>
      </c>
      <c r="F16" s="27"/>
      <c r="G16" s="27"/>
      <c r="H16" s="27"/>
      <c r="I16" s="29">
        <f>SUM(I21:I50)</f>
        <v>299</v>
      </c>
      <c r="J16" s="27" t="s">
        <v>21</v>
      </c>
      <c r="K16" s="83">
        <f>INDEX($K21:$K$50,MATCH(MAX(AB21:AB50),$AB$21:$AB$50,0))</f>
        <v>2.7574373343288885</v>
      </c>
      <c r="L16" s="47"/>
      <c r="M16" s="48">
        <f>IF($B$51=0,"",$K$16+$Z$16)</f>
        <v>3.668247378910507</v>
      </c>
      <c r="N16" s="28"/>
      <c r="Z16" s="144">
        <f>INDEX($Z$21:$Z$50,MATCH(MAX(AB21:AB50),$AB$21:$AB$50,0))</f>
        <v>0.9108100445816186</v>
      </c>
      <c r="AB16" s="143">
        <f>MAX(AB21:AB50)</f>
        <v>3.668247378910507</v>
      </c>
    </row>
    <row r="17" spans="1:14" ht="13.5" hidden="1" thickBot="1">
      <c r="A17" s="26"/>
      <c r="B17" s="27"/>
      <c r="C17" s="27"/>
      <c r="D17" s="83"/>
      <c r="E17" s="83"/>
      <c r="F17" s="27"/>
      <c r="G17" s="27"/>
      <c r="H17" s="27"/>
      <c r="I17" s="27"/>
      <c r="J17" s="30" t="s">
        <v>22</v>
      </c>
      <c r="K17" s="27"/>
      <c r="L17" s="27"/>
      <c r="M17" s="27"/>
      <c r="N17" s="28"/>
    </row>
    <row r="18" spans="1:25" ht="13.5" hidden="1" thickBot="1">
      <c r="A18" s="26"/>
      <c r="B18" s="39"/>
      <c r="C18" s="54">
        <f>IF(B18="","",$D$12)</f>
      </c>
      <c r="D18" s="69">
        <f>IF(B18="","",B18*C18)</f>
      </c>
      <c r="E18" s="69">
        <f>IF(B18="","",D18*0.86/$D$13)</f>
      </c>
      <c r="F18" s="55">
        <f>IF(B18="","",$D$14)</f>
      </c>
      <c r="G18" s="224">
        <f>(IF(B18="","",ROUNDUP((IF(F18=0.3,(PRODUCT(B18*3.3)))+IF(F18=0.25,(PRODUCT(B18*4)))),0)))</f>
      </c>
      <c r="H18" s="54">
        <f>IF(B18="","",0)</f>
      </c>
      <c r="I18" s="219">
        <f>IF(B18="","",G18+H18)</f>
      </c>
      <c r="J18" s="221">
        <f>IF(B18="","",IF(AND($F$13="PEX",I18&gt;120),$J$17,IF(AND($F$13="ALUPEX",I18&gt;100),$J$17,"")))</f>
      </c>
      <c r="K18" s="222">
        <f>IF(B18="","",IF($F$13="PEX",E18/1000/V18*E18/1000/V18*10*I18,IF($F$13="ALUPEX",E18/1000/AG18*E18/1000/AG18*10*I18,0)))</f>
      </c>
      <c r="L18" s="222">
        <f>IF(OR(B18="",I18=""),"",$M$16-K18)</f>
      </c>
      <c r="M18" s="223">
        <f>IF(OR(B18="",I18=""),"",E18/1000/SQRT(($M$16-K18)/10))</f>
      </c>
      <c r="N18" s="205">
        <f>IF(OR(B18="",I18=""),"",INDEX($P$21:$P$34,MATCH(M18,$Q$21:$Q$34,-1)))</f>
      </c>
      <c r="V18" s="87">
        <f>IF(B18="","",INDEX($S$23:$S$32,MATCH(E18,$T$23:$T$31,-1)))</f>
      </c>
      <c r="Y18" s="87"/>
    </row>
    <row r="19" spans="1:33" ht="12.75">
      <c r="A19" s="2" t="s">
        <v>0</v>
      </c>
      <c r="B19" s="3" t="s">
        <v>1</v>
      </c>
      <c r="C19" s="3" t="s">
        <v>2</v>
      </c>
      <c r="D19" s="84" t="s">
        <v>3</v>
      </c>
      <c r="E19" s="84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23</v>
      </c>
      <c r="K19" s="3" t="s">
        <v>9</v>
      </c>
      <c r="L19" s="3" t="s">
        <v>10</v>
      </c>
      <c r="M19" s="3" t="s">
        <v>11</v>
      </c>
      <c r="N19" s="4" t="s">
        <v>17</v>
      </c>
      <c r="P19" s="2" t="s">
        <v>24</v>
      </c>
      <c r="Q19" s="4" t="s">
        <v>25</v>
      </c>
      <c r="S19" s="96" t="s">
        <v>27</v>
      </c>
      <c r="T19" s="92" t="s">
        <v>28</v>
      </c>
      <c r="V19" s="78" t="s">
        <v>29</v>
      </c>
      <c r="Z19" s="142" t="s">
        <v>61</v>
      </c>
      <c r="AB19" s="99" t="s">
        <v>60</v>
      </c>
      <c r="AD19" s="149" t="s">
        <v>27</v>
      </c>
      <c r="AE19" s="149" t="s">
        <v>28</v>
      </c>
      <c r="AG19" s="149" t="s">
        <v>29</v>
      </c>
    </row>
    <row r="20" spans="1:33" ht="15" thickBot="1">
      <c r="A20" s="5"/>
      <c r="B20" s="6" t="s">
        <v>36</v>
      </c>
      <c r="C20" s="6" t="s">
        <v>49</v>
      </c>
      <c r="D20" s="81" t="s">
        <v>48</v>
      </c>
      <c r="E20" s="81" t="s">
        <v>13</v>
      </c>
      <c r="F20" s="6" t="s">
        <v>14</v>
      </c>
      <c r="G20" s="6" t="s">
        <v>14</v>
      </c>
      <c r="H20" s="81" t="s">
        <v>14</v>
      </c>
      <c r="I20" s="81" t="s">
        <v>14</v>
      </c>
      <c r="J20" s="68"/>
      <c r="K20" s="6" t="s">
        <v>57</v>
      </c>
      <c r="L20" s="6" t="s">
        <v>57</v>
      </c>
      <c r="M20" s="6" t="s">
        <v>58</v>
      </c>
      <c r="N20" s="7" t="s">
        <v>15</v>
      </c>
      <c r="P20" s="5" t="s">
        <v>15</v>
      </c>
      <c r="Q20" s="7" t="s">
        <v>37</v>
      </c>
      <c r="S20" s="97" t="s">
        <v>26</v>
      </c>
      <c r="T20" s="93" t="s">
        <v>13</v>
      </c>
      <c r="V20" s="79" t="s">
        <v>53</v>
      </c>
      <c r="X20" s="147"/>
      <c r="Z20" s="25" t="s">
        <v>59</v>
      </c>
      <c r="AB20" s="25" t="s">
        <v>59</v>
      </c>
      <c r="AD20" s="25" t="s">
        <v>26</v>
      </c>
      <c r="AE20" s="25" t="s">
        <v>13</v>
      </c>
      <c r="AG20" s="25" t="s">
        <v>53</v>
      </c>
    </row>
    <row r="21" spans="1:33" ht="13.5" thickBot="1">
      <c r="A21" s="111" t="s">
        <v>70</v>
      </c>
      <c r="B21" s="109">
        <v>37.9</v>
      </c>
      <c r="C21" s="54">
        <f>IF(B21="","",$D$12)</f>
        <v>50</v>
      </c>
      <c r="D21" s="190">
        <f>IF(B21="","",B21*C21)</f>
        <v>1895</v>
      </c>
      <c r="E21" s="191">
        <f aca="true" t="shared" si="0" ref="E21:E50">IF(B21="","",D21*0.86/$D$13)</f>
        <v>325.94</v>
      </c>
      <c r="F21" s="55">
        <f>IF(B21="","",$D$14)</f>
        <v>0.3</v>
      </c>
      <c r="G21" s="195">
        <f>(IF(B21="","",ROUNDUP((IF(F21=0.3,(PRODUCT(B21*3.3)))+IF(F21=0.25,(PRODUCT(B21*4)))),0)))</f>
        <v>126</v>
      </c>
      <c r="H21" s="54">
        <v>20</v>
      </c>
      <c r="I21" s="203">
        <f>IF(B21="","",G21+H21)</f>
        <v>146</v>
      </c>
      <c r="J21" s="197" t="str">
        <f aca="true" t="shared" si="1" ref="J21:J50">IF(B21="","",IF(AND($F$13="PEX",I21&gt;120),$J$17,IF(AND($F$13="ALUPEX",I21&gt;100),$J$17,"")))</f>
        <v>FEJL !</v>
      </c>
      <c r="K21" s="198">
        <f>IF(B21="","",IF($F$13="PEX",E21/1000/V21*E21/1000/V21*10*I21,IF($F$13="ALUPEX",E21/1000/AG21*E21/1000/AG21*10*I21,0)))</f>
        <v>2.7574373343288885</v>
      </c>
      <c r="L21" s="198">
        <f>IF(OR(B21="",I21=""),"",$M$16-K21)</f>
        <v>0.9108100445816185</v>
      </c>
      <c r="M21" s="199">
        <f>IF(OR(B21="",I21=""),"",E21/1000/SQRT(($M$16-K21)/10))</f>
        <v>1.08</v>
      </c>
      <c r="N21" s="205" t="str">
        <f aca="true" t="shared" si="2" ref="N21:N50">IF(OR(B21="",I21=""),"",INDEX($P$21:$P$34,MATCH(M21,$Q$21:$Q$34,-1)))</f>
        <v>N</v>
      </c>
      <c r="P21" s="227" t="s">
        <v>68</v>
      </c>
      <c r="Q21" s="225">
        <v>1.09</v>
      </c>
      <c r="S21" s="153">
        <v>8</v>
      </c>
      <c r="T21" s="94">
        <v>720</v>
      </c>
      <c r="V21" s="77">
        <f>IF(B21="","",INDEX($S$21:$S$32,MATCH(E21,$T$21:$T$32,-1)))</f>
        <v>7.5</v>
      </c>
      <c r="X21" s="145"/>
      <c r="Z21" s="139">
        <f>IF(B21="","",E21/1000/1.08*E21/1000/1.08*10)</f>
        <v>0.9108100445816186</v>
      </c>
      <c r="AB21" s="140">
        <f>IF(B21="","",SUM(K21,Z21))</f>
        <v>3.668247378910507</v>
      </c>
      <c r="AC21" s="128"/>
      <c r="AD21" s="150">
        <v>3.6</v>
      </c>
      <c r="AE21" s="148">
        <v>720</v>
      </c>
      <c r="AG21" s="98">
        <f aca="true" t="shared" si="3" ref="AG21:AG50">IF(B21="","",INDEX($AD$21:$AD$32,MATCH(E21,$AE$21:$AE$32,-1)))</f>
        <v>3.4</v>
      </c>
    </row>
    <row r="22" spans="1:33" ht="13.5" thickBot="1">
      <c r="A22" s="112" t="s">
        <v>71</v>
      </c>
      <c r="B22" s="109">
        <v>10.2</v>
      </c>
      <c r="C22" s="54">
        <f aca="true" t="shared" si="4" ref="C22:C50">IF(B22="","",$D$12)</f>
        <v>50</v>
      </c>
      <c r="D22" s="190">
        <f>IF(B22="","",B22*C22)</f>
        <v>509.99999999999994</v>
      </c>
      <c r="E22" s="191">
        <f t="shared" si="0"/>
        <v>87.72</v>
      </c>
      <c r="F22" s="55">
        <f aca="true" t="shared" si="5" ref="F22:F50">IF(B22="","",$D$14)</f>
        <v>0.3</v>
      </c>
      <c r="G22" s="195">
        <f aca="true" t="shared" si="6" ref="G22:G50">(IF(B22="","",ROUNDUP((IF(F22=0.3,(PRODUCT(B22*3.3)))+IF(F22=0.25,(PRODUCT(B22*4)))),0)))</f>
        <v>34</v>
      </c>
      <c r="H22" s="54">
        <v>20</v>
      </c>
      <c r="I22" s="203">
        <f aca="true" t="shared" si="7" ref="I22:I50">IF(B22="","",G22+H22)</f>
        <v>54</v>
      </c>
      <c r="J22" s="197">
        <f t="shared" si="1"/>
      </c>
      <c r="K22" s="198">
        <f aca="true" t="shared" si="8" ref="K22:K50">IF(B22="","",IF($F$13="PEX",E22/1000/V22*E22/1000/V22*10*I22,IF($F$13="ALUPEX",E22/1000/AG22*E22/1000/AG22*10*I22,0)))</f>
        <v>0.10469113469387756</v>
      </c>
      <c r="L22" s="198">
        <f aca="true" t="shared" si="9" ref="L22:L50">IF(OR(B22="",I22=""),"",$M$16-K22)</f>
        <v>3.5635562442166293</v>
      </c>
      <c r="M22" s="199">
        <f aca="true" t="shared" si="10" ref="M22:M50">IF(OR(B22="",I22=""),"",E22/1000/SQRT(($M$16-K22)/10))</f>
        <v>0.1469456770229841</v>
      </c>
      <c r="N22" s="205">
        <f t="shared" si="2"/>
        <v>1.5</v>
      </c>
      <c r="P22" s="225">
        <v>7</v>
      </c>
      <c r="Q22" s="225">
        <v>0.92</v>
      </c>
      <c r="S22" s="153">
        <v>7.6</v>
      </c>
      <c r="T22" s="94">
        <v>540</v>
      </c>
      <c r="V22" s="77">
        <f aca="true" t="shared" si="11" ref="V22:V50">IF(B22="","",INDEX($S$21:$S$32,MATCH(E22,$T$21:$T$31,-1)))</f>
        <v>6.3</v>
      </c>
      <c r="X22" s="146"/>
      <c r="Z22" s="139">
        <f aca="true" t="shared" si="12" ref="Z22:Z50">IF(B22="","",E22/1000/1.08*E22/1000/1.08*10)</f>
        <v>0.06597049382716048</v>
      </c>
      <c r="AB22" s="138">
        <f aca="true" t="shared" si="13" ref="AB22:AB50">IF(B22="","",SUM(K22,Z22))</f>
        <v>0.17066162852103806</v>
      </c>
      <c r="AC22" s="128"/>
      <c r="AD22" s="151">
        <v>3.5</v>
      </c>
      <c r="AE22" s="148">
        <v>540</v>
      </c>
      <c r="AG22" s="98">
        <f t="shared" si="3"/>
        <v>2.8</v>
      </c>
    </row>
    <row r="23" spans="1:33" ht="13.5" thickBot="1">
      <c r="A23" s="112"/>
      <c r="B23" s="109"/>
      <c r="C23" s="54">
        <f t="shared" si="4"/>
      </c>
      <c r="D23" s="192">
        <f aca="true" t="shared" si="14" ref="D23:D50">IF(B23="","",B23*C23)</f>
      </c>
      <c r="E23" s="193">
        <f t="shared" si="0"/>
      </c>
      <c r="F23" s="55">
        <f t="shared" si="5"/>
      </c>
      <c r="G23" s="195">
        <f t="shared" si="6"/>
      </c>
      <c r="H23" s="54"/>
      <c r="I23" s="203">
        <f t="shared" si="7"/>
      </c>
      <c r="J23" s="197">
        <f t="shared" si="1"/>
      </c>
      <c r="K23" s="198">
        <f t="shared" si="8"/>
      </c>
      <c r="L23" s="198">
        <f t="shared" si="9"/>
      </c>
      <c r="M23" s="199">
        <f t="shared" si="10"/>
      </c>
      <c r="N23" s="205">
        <f t="shared" si="2"/>
      </c>
      <c r="P23" s="225">
        <v>6.5</v>
      </c>
      <c r="Q23" s="225">
        <v>0.84</v>
      </c>
      <c r="S23" s="154">
        <v>7.5</v>
      </c>
      <c r="T23" s="95">
        <v>360</v>
      </c>
      <c r="V23" s="77">
        <f t="shared" si="11"/>
      </c>
      <c r="Z23" s="139">
        <f t="shared" si="12"/>
      </c>
      <c r="AB23" s="138">
        <f t="shared" si="13"/>
      </c>
      <c r="AC23" s="128"/>
      <c r="AD23" s="151">
        <v>3.4</v>
      </c>
      <c r="AE23" s="148">
        <v>360</v>
      </c>
      <c r="AG23" s="98">
        <f t="shared" si="3"/>
      </c>
    </row>
    <row r="24" spans="1:33" ht="13.5" thickBot="1">
      <c r="A24" s="112" t="s">
        <v>73</v>
      </c>
      <c r="B24" s="109">
        <v>7.1</v>
      </c>
      <c r="C24" s="54">
        <f t="shared" si="4"/>
        <v>50</v>
      </c>
      <c r="D24" s="192">
        <f t="shared" si="14"/>
        <v>355</v>
      </c>
      <c r="E24" s="193">
        <f t="shared" si="0"/>
        <v>61.06</v>
      </c>
      <c r="F24" s="55">
        <f t="shared" si="5"/>
        <v>0.3</v>
      </c>
      <c r="G24" s="195">
        <f t="shared" si="6"/>
        <v>24</v>
      </c>
      <c r="H24" s="54">
        <v>5</v>
      </c>
      <c r="I24" s="203">
        <f t="shared" si="7"/>
        <v>29</v>
      </c>
      <c r="J24" s="197">
        <f t="shared" si="1"/>
      </c>
      <c r="K24" s="198">
        <f t="shared" si="8"/>
        <v>0.02812731123829344</v>
      </c>
      <c r="L24" s="198">
        <f t="shared" si="9"/>
        <v>3.6401200676722136</v>
      </c>
      <c r="M24" s="199">
        <f t="shared" si="10"/>
        <v>0.10120429538205365</v>
      </c>
      <c r="N24" s="205">
        <f>IF(OR(B24="",I24=""),"",INDEX($P$21:$P$34,MATCH(M24,$Q$21:$Q$34,-1)))</f>
        <v>1</v>
      </c>
      <c r="P24" s="225">
        <v>6</v>
      </c>
      <c r="Q24" s="225">
        <v>0.76</v>
      </c>
      <c r="S24" s="153">
        <v>7.3</v>
      </c>
      <c r="T24" s="94">
        <v>324</v>
      </c>
      <c r="V24" s="77">
        <f t="shared" si="11"/>
        <v>6.2</v>
      </c>
      <c r="Z24" s="139">
        <f t="shared" si="12"/>
        <v>0.03196436556927298</v>
      </c>
      <c r="AB24" s="138">
        <f t="shared" si="13"/>
        <v>0.06009167680756641</v>
      </c>
      <c r="AC24" s="128"/>
      <c r="AD24" s="151">
        <v>3.3</v>
      </c>
      <c r="AE24" s="148">
        <v>324</v>
      </c>
      <c r="AG24" s="98">
        <f t="shared" si="3"/>
        <v>2.6</v>
      </c>
    </row>
    <row r="25" spans="1:33" ht="13.5" thickBot="1">
      <c r="A25" s="112" t="s">
        <v>74</v>
      </c>
      <c r="B25" s="109">
        <v>6</v>
      </c>
      <c r="C25" s="54">
        <f t="shared" si="4"/>
        <v>50</v>
      </c>
      <c r="D25" s="192">
        <f t="shared" si="14"/>
        <v>300</v>
      </c>
      <c r="E25" s="193">
        <f t="shared" si="0"/>
        <v>51.6</v>
      </c>
      <c r="F25" s="55">
        <f t="shared" si="5"/>
        <v>0.3</v>
      </c>
      <c r="G25" s="195">
        <f t="shared" si="6"/>
        <v>20</v>
      </c>
      <c r="H25" s="54">
        <v>8</v>
      </c>
      <c r="I25" s="203">
        <f t="shared" si="7"/>
        <v>28</v>
      </c>
      <c r="J25" s="197">
        <f t="shared" si="1"/>
      </c>
      <c r="K25" s="198">
        <f t="shared" si="8"/>
        <v>0.01939429760665973</v>
      </c>
      <c r="L25" s="198">
        <f t="shared" si="9"/>
        <v>3.648853081303847</v>
      </c>
      <c r="M25" s="199">
        <f t="shared" si="10"/>
        <v>0.08542234964724703</v>
      </c>
      <c r="N25" s="205">
        <f t="shared" si="2"/>
        <v>1</v>
      </c>
      <c r="P25" s="225">
        <v>5.5</v>
      </c>
      <c r="Q25" s="225">
        <v>0.62</v>
      </c>
      <c r="S25" s="153">
        <v>7.2</v>
      </c>
      <c r="T25" s="94">
        <v>288</v>
      </c>
      <c r="V25" s="77">
        <f t="shared" si="11"/>
        <v>6.2</v>
      </c>
      <c r="Z25" s="139">
        <f t="shared" si="12"/>
        <v>0.02282716049382716</v>
      </c>
      <c r="AB25" s="138">
        <f t="shared" si="13"/>
        <v>0.042221458100486886</v>
      </c>
      <c r="AC25" s="128"/>
      <c r="AD25" s="151">
        <v>3.3</v>
      </c>
      <c r="AE25" s="148">
        <v>288</v>
      </c>
      <c r="AG25" s="98">
        <f t="shared" si="3"/>
        <v>2.6</v>
      </c>
    </row>
    <row r="26" spans="1:33" ht="13.5" thickBot="1">
      <c r="A26" s="112" t="s">
        <v>75</v>
      </c>
      <c r="B26" s="109">
        <v>10.2</v>
      </c>
      <c r="C26" s="54">
        <f t="shared" si="4"/>
        <v>50</v>
      </c>
      <c r="D26" s="192">
        <f t="shared" si="14"/>
        <v>509.99999999999994</v>
      </c>
      <c r="E26" s="193">
        <f t="shared" si="0"/>
        <v>87.72</v>
      </c>
      <c r="F26" s="55">
        <f t="shared" si="5"/>
        <v>0.3</v>
      </c>
      <c r="G26" s="195">
        <f t="shared" si="6"/>
        <v>34</v>
      </c>
      <c r="H26" s="54">
        <v>8</v>
      </c>
      <c r="I26" s="203">
        <f t="shared" si="7"/>
        <v>42</v>
      </c>
      <c r="J26" s="197">
        <f t="shared" si="1"/>
      </c>
      <c r="K26" s="198">
        <f t="shared" si="8"/>
        <v>0.0814264380952381</v>
      </c>
      <c r="L26" s="198">
        <f t="shared" si="9"/>
        <v>3.5868209408152687</v>
      </c>
      <c r="M26" s="199">
        <f t="shared" si="10"/>
        <v>0.14646834512201182</v>
      </c>
      <c r="N26" s="205">
        <f t="shared" si="2"/>
        <v>1.5</v>
      </c>
      <c r="P26" s="225">
        <v>5</v>
      </c>
      <c r="Q26" s="225">
        <v>0.51</v>
      </c>
      <c r="S26" s="153">
        <v>7.1</v>
      </c>
      <c r="T26" s="94">
        <v>252</v>
      </c>
      <c r="V26" s="77">
        <f t="shared" si="11"/>
        <v>6.3</v>
      </c>
      <c r="Z26" s="139">
        <f t="shared" si="12"/>
        <v>0.06597049382716048</v>
      </c>
      <c r="AB26" s="138">
        <f t="shared" si="13"/>
        <v>0.14739693192239858</v>
      </c>
      <c r="AC26" s="128"/>
      <c r="AD26" s="151">
        <v>3.2</v>
      </c>
      <c r="AE26" s="148">
        <v>252</v>
      </c>
      <c r="AG26" s="98">
        <f t="shared" si="3"/>
        <v>2.8</v>
      </c>
    </row>
    <row r="27" spans="1:33" ht="13.5" thickBot="1">
      <c r="A27" s="112"/>
      <c r="B27" s="109"/>
      <c r="C27" s="54">
        <f t="shared" si="4"/>
      </c>
      <c r="D27" s="192">
        <f t="shared" si="14"/>
      </c>
      <c r="E27" s="193">
        <f t="shared" si="0"/>
      </c>
      <c r="F27" s="55">
        <f t="shared" si="5"/>
      </c>
      <c r="G27" s="195">
        <f t="shared" si="6"/>
      </c>
      <c r="H27" s="54"/>
      <c r="I27" s="203">
        <f t="shared" si="7"/>
      </c>
      <c r="J27" s="197">
        <f t="shared" si="1"/>
      </c>
      <c r="K27" s="198">
        <f t="shared" si="8"/>
      </c>
      <c r="L27" s="198">
        <f t="shared" si="9"/>
      </c>
      <c r="M27" s="199">
        <f t="shared" si="10"/>
      </c>
      <c r="N27" s="205">
        <f t="shared" si="2"/>
      </c>
      <c r="P27" s="225">
        <v>4.5</v>
      </c>
      <c r="Q27" s="225">
        <v>0.44</v>
      </c>
      <c r="S27" s="153">
        <v>6.8</v>
      </c>
      <c r="T27" s="94">
        <v>216</v>
      </c>
      <c r="V27" s="77">
        <f t="shared" si="11"/>
      </c>
      <c r="Z27" s="139">
        <f t="shared" si="12"/>
      </c>
      <c r="AB27" s="138">
        <f t="shared" si="13"/>
      </c>
      <c r="AC27" s="128"/>
      <c r="AD27" s="151">
        <v>3.1</v>
      </c>
      <c r="AE27" s="148">
        <v>216</v>
      </c>
      <c r="AG27" s="98">
        <f t="shared" si="3"/>
      </c>
    </row>
    <row r="28" spans="1:33" ht="13.5" thickBot="1">
      <c r="A28" s="112"/>
      <c r="B28" s="109"/>
      <c r="C28" s="54">
        <f t="shared" si="4"/>
      </c>
      <c r="D28" s="192">
        <f t="shared" si="14"/>
      </c>
      <c r="E28" s="193">
        <f t="shared" si="0"/>
      </c>
      <c r="F28" s="55">
        <f t="shared" si="5"/>
      </c>
      <c r="G28" s="195">
        <f t="shared" si="6"/>
      </c>
      <c r="H28" s="54">
        <f aca="true" t="shared" si="15" ref="H28:H56">IF(B28="","",0)</f>
      </c>
      <c r="I28" s="203">
        <f t="shared" si="7"/>
      </c>
      <c r="J28" s="197">
        <f t="shared" si="1"/>
      </c>
      <c r="K28" s="198">
        <f t="shared" si="8"/>
      </c>
      <c r="L28" s="198">
        <f t="shared" si="9"/>
      </c>
      <c r="M28" s="199">
        <f t="shared" si="10"/>
      </c>
      <c r="N28" s="205">
        <f t="shared" si="2"/>
      </c>
      <c r="P28" s="225">
        <v>4</v>
      </c>
      <c r="Q28" s="225">
        <v>0.35</v>
      </c>
      <c r="S28" s="153">
        <v>6.7</v>
      </c>
      <c r="T28" s="94">
        <v>180</v>
      </c>
      <c r="V28" s="77">
        <f t="shared" si="11"/>
      </c>
      <c r="Z28" s="139">
        <f t="shared" si="12"/>
      </c>
      <c r="AB28" s="138">
        <f t="shared" si="13"/>
      </c>
      <c r="AC28" s="128"/>
      <c r="AD28" s="151">
        <v>3</v>
      </c>
      <c r="AE28" s="148">
        <v>180</v>
      </c>
      <c r="AG28" s="98">
        <f t="shared" si="3"/>
      </c>
    </row>
    <row r="29" spans="1:33" ht="13.5" thickBot="1">
      <c r="A29" s="112"/>
      <c r="B29" s="110"/>
      <c r="C29" s="54">
        <f t="shared" si="4"/>
      </c>
      <c r="D29" s="192">
        <f t="shared" si="14"/>
      </c>
      <c r="E29" s="193">
        <f t="shared" si="0"/>
      </c>
      <c r="F29" s="55">
        <f t="shared" si="5"/>
      </c>
      <c r="G29" s="195">
        <f t="shared" si="6"/>
      </c>
      <c r="H29" s="54">
        <f t="shared" si="15"/>
      </c>
      <c r="I29" s="203">
        <f t="shared" si="7"/>
      </c>
      <c r="J29" s="197">
        <f t="shared" si="1"/>
      </c>
      <c r="K29" s="198">
        <f t="shared" si="8"/>
      </c>
      <c r="L29" s="198">
        <f t="shared" si="9"/>
      </c>
      <c r="M29" s="199">
        <f t="shared" si="10"/>
      </c>
      <c r="N29" s="205">
        <f t="shared" si="2"/>
      </c>
      <c r="P29" s="225">
        <v>3.5</v>
      </c>
      <c r="Q29" s="225">
        <v>0.3</v>
      </c>
      <c r="S29" s="153">
        <v>6.5</v>
      </c>
      <c r="T29" s="94">
        <v>144</v>
      </c>
      <c r="V29" s="77">
        <f t="shared" si="11"/>
      </c>
      <c r="Z29" s="139">
        <f t="shared" si="12"/>
      </c>
      <c r="AB29" s="138">
        <f t="shared" si="13"/>
      </c>
      <c r="AC29" s="128"/>
      <c r="AD29" s="151">
        <v>2.9</v>
      </c>
      <c r="AE29" s="148">
        <v>144</v>
      </c>
      <c r="AG29" s="98">
        <f t="shared" si="3"/>
      </c>
    </row>
    <row r="30" spans="1:33" ht="13.5" thickBot="1">
      <c r="A30" s="112"/>
      <c r="B30" s="110"/>
      <c r="C30" s="54">
        <f t="shared" si="4"/>
      </c>
      <c r="D30" s="192">
        <f t="shared" si="14"/>
      </c>
      <c r="E30" s="193">
        <f t="shared" si="0"/>
      </c>
      <c r="F30" s="55">
        <f t="shared" si="5"/>
      </c>
      <c r="G30" s="195">
        <f t="shared" si="6"/>
      </c>
      <c r="H30" s="54">
        <f t="shared" si="15"/>
      </c>
      <c r="I30" s="203">
        <f t="shared" si="7"/>
      </c>
      <c r="J30" s="197">
        <f t="shared" si="1"/>
      </c>
      <c r="K30" s="198">
        <f t="shared" si="8"/>
      </c>
      <c r="L30" s="198">
        <f t="shared" si="9"/>
      </c>
      <c r="M30" s="199">
        <f t="shared" si="10"/>
      </c>
      <c r="N30" s="205">
        <f t="shared" si="2"/>
      </c>
      <c r="P30" s="225">
        <v>3</v>
      </c>
      <c r="Q30" s="225">
        <v>0.25</v>
      </c>
      <c r="S30" s="153">
        <v>6.3</v>
      </c>
      <c r="T30" s="94">
        <v>108</v>
      </c>
      <c r="V30" s="77">
        <f t="shared" si="11"/>
      </c>
      <c r="Z30" s="139">
        <f t="shared" si="12"/>
      </c>
      <c r="AB30" s="138">
        <f t="shared" si="13"/>
      </c>
      <c r="AC30" s="128"/>
      <c r="AD30" s="151">
        <v>2.8</v>
      </c>
      <c r="AE30" s="148">
        <v>108</v>
      </c>
      <c r="AG30" s="98">
        <f t="shared" si="3"/>
      </c>
    </row>
    <row r="31" spans="1:33" ht="13.5" thickBot="1">
      <c r="A31" s="112"/>
      <c r="B31" s="110"/>
      <c r="C31" s="54">
        <f t="shared" si="4"/>
      </c>
      <c r="D31" s="192">
        <f t="shared" si="14"/>
      </c>
      <c r="E31" s="193">
        <f t="shared" si="0"/>
      </c>
      <c r="F31" s="55">
        <f t="shared" si="5"/>
      </c>
      <c r="G31" s="195">
        <f t="shared" si="6"/>
      </c>
      <c r="H31" s="54">
        <f t="shared" si="15"/>
      </c>
      <c r="I31" s="203">
        <f t="shared" si="7"/>
      </c>
      <c r="J31" s="197">
        <f t="shared" si="1"/>
      </c>
      <c r="K31" s="198">
        <f t="shared" si="8"/>
      </c>
      <c r="L31" s="198">
        <f t="shared" si="9"/>
      </c>
      <c r="M31" s="199">
        <f t="shared" si="10"/>
      </c>
      <c r="N31" s="205">
        <f t="shared" si="2"/>
      </c>
      <c r="P31" s="225">
        <v>2.5</v>
      </c>
      <c r="Q31" s="225">
        <v>0.22</v>
      </c>
      <c r="S31" s="153">
        <v>6.2</v>
      </c>
      <c r="T31" s="94">
        <v>72</v>
      </c>
      <c r="V31" s="77">
        <f t="shared" si="11"/>
      </c>
      <c r="W31" s="85"/>
      <c r="Z31" s="139">
        <f t="shared" si="12"/>
      </c>
      <c r="AB31" s="138">
        <f t="shared" si="13"/>
      </c>
      <c r="AC31" s="128"/>
      <c r="AD31" s="152">
        <v>2.6</v>
      </c>
      <c r="AE31" s="148">
        <v>72</v>
      </c>
      <c r="AG31" s="98">
        <f t="shared" si="3"/>
      </c>
    </row>
    <row r="32" spans="1:33" ht="13.5" thickBot="1">
      <c r="A32" s="112"/>
      <c r="B32" s="110"/>
      <c r="C32" s="54">
        <f t="shared" si="4"/>
      </c>
      <c r="D32" s="192">
        <f t="shared" si="14"/>
      </c>
      <c r="E32" s="193">
        <f t="shared" si="0"/>
      </c>
      <c r="F32" s="55">
        <f t="shared" si="5"/>
      </c>
      <c r="G32" s="195">
        <f t="shared" si="6"/>
      </c>
      <c r="H32" s="54">
        <f t="shared" si="15"/>
      </c>
      <c r="I32" s="203">
        <f t="shared" si="7"/>
      </c>
      <c r="J32" s="197">
        <f t="shared" si="1"/>
      </c>
      <c r="K32" s="198">
        <f t="shared" si="8"/>
      </c>
      <c r="L32" s="198">
        <f t="shared" si="9"/>
      </c>
      <c r="M32" s="199">
        <f t="shared" si="10"/>
      </c>
      <c r="N32" s="205">
        <f t="shared" si="2"/>
      </c>
      <c r="P32" s="225">
        <v>2</v>
      </c>
      <c r="Q32" s="225">
        <v>0.19</v>
      </c>
      <c r="S32" s="153">
        <v>5.7</v>
      </c>
      <c r="T32" s="94">
        <v>32</v>
      </c>
      <c r="V32" s="77">
        <f t="shared" si="11"/>
      </c>
      <c r="Z32" s="139">
        <f t="shared" si="12"/>
      </c>
      <c r="AB32" s="138">
        <f t="shared" si="13"/>
      </c>
      <c r="AD32" s="151">
        <v>2.4</v>
      </c>
      <c r="AE32" s="148">
        <v>36</v>
      </c>
      <c r="AG32" s="98">
        <f t="shared" si="3"/>
      </c>
    </row>
    <row r="33" spans="1:33" ht="13.5" thickBot="1">
      <c r="A33" s="112"/>
      <c r="B33" s="110"/>
      <c r="C33" s="54">
        <f t="shared" si="4"/>
      </c>
      <c r="D33" s="192">
        <f t="shared" si="14"/>
      </c>
      <c r="E33" s="193">
        <f t="shared" si="0"/>
      </c>
      <c r="F33" s="55">
        <f t="shared" si="5"/>
      </c>
      <c r="G33" s="195">
        <f t="shared" si="6"/>
      </c>
      <c r="H33" s="54">
        <f t="shared" si="15"/>
      </c>
      <c r="I33" s="203">
        <f t="shared" si="7"/>
      </c>
      <c r="J33" s="197">
        <f t="shared" si="1"/>
      </c>
      <c r="K33" s="198">
        <f t="shared" si="8"/>
      </c>
      <c r="L33" s="198">
        <f t="shared" si="9"/>
      </c>
      <c r="M33" s="199">
        <f t="shared" si="10"/>
      </c>
      <c r="N33" s="205">
        <f t="shared" si="2"/>
      </c>
      <c r="P33" s="225">
        <v>1.5</v>
      </c>
      <c r="Q33" s="225">
        <v>0.15</v>
      </c>
      <c r="V33" s="77">
        <f t="shared" si="11"/>
      </c>
      <c r="Z33" s="139">
        <f t="shared" si="12"/>
      </c>
      <c r="AB33" s="138">
        <f t="shared" si="13"/>
      </c>
      <c r="AD33" s="27"/>
      <c r="AE33" s="27"/>
      <c r="AG33" s="98">
        <f t="shared" si="3"/>
      </c>
    </row>
    <row r="34" spans="1:33" ht="13.5" thickBot="1">
      <c r="A34" s="112"/>
      <c r="B34" s="110"/>
      <c r="C34" s="54">
        <f t="shared" si="4"/>
      </c>
      <c r="D34" s="192">
        <f t="shared" si="14"/>
      </c>
      <c r="E34" s="193">
        <f t="shared" si="0"/>
      </c>
      <c r="F34" s="55">
        <f t="shared" si="5"/>
      </c>
      <c r="G34" s="195">
        <f t="shared" si="6"/>
      </c>
      <c r="H34" s="54">
        <f t="shared" si="15"/>
      </c>
      <c r="I34" s="203">
        <f t="shared" si="7"/>
      </c>
      <c r="J34" s="197">
        <f t="shared" si="1"/>
      </c>
      <c r="K34" s="198">
        <f t="shared" si="8"/>
      </c>
      <c r="L34" s="198">
        <f t="shared" si="9"/>
      </c>
      <c r="M34" s="199">
        <f t="shared" si="10"/>
      </c>
      <c r="N34" s="205">
        <f t="shared" si="2"/>
      </c>
      <c r="P34" s="225">
        <v>1</v>
      </c>
      <c r="Q34" s="225">
        <v>0.13</v>
      </c>
      <c r="V34" s="77">
        <f t="shared" si="11"/>
      </c>
      <c r="Z34" s="139">
        <f t="shared" si="12"/>
      </c>
      <c r="AB34" s="138">
        <f t="shared" si="13"/>
      </c>
      <c r="AG34" s="98">
        <f t="shared" si="3"/>
      </c>
    </row>
    <row r="35" spans="1:33" ht="12.75">
      <c r="A35" s="112"/>
      <c r="B35" s="110"/>
      <c r="C35" s="54">
        <f t="shared" si="4"/>
      </c>
      <c r="D35" s="192">
        <f t="shared" si="14"/>
      </c>
      <c r="E35" s="193">
        <f t="shared" si="0"/>
      </c>
      <c r="F35" s="55">
        <f t="shared" si="5"/>
      </c>
      <c r="G35" s="195">
        <f t="shared" si="6"/>
      </c>
      <c r="H35" s="54">
        <f t="shared" si="15"/>
      </c>
      <c r="I35" s="203">
        <f t="shared" si="7"/>
      </c>
      <c r="J35" s="197">
        <f t="shared" si="1"/>
      </c>
      <c r="K35" s="198">
        <f t="shared" si="8"/>
      </c>
      <c r="L35" s="198">
        <f t="shared" si="9"/>
      </c>
      <c r="M35" s="199">
        <f t="shared" si="10"/>
      </c>
      <c r="N35" s="205">
        <f t="shared" si="2"/>
      </c>
      <c r="P35" s="114"/>
      <c r="Q35" s="12"/>
      <c r="V35" s="77">
        <f t="shared" si="11"/>
      </c>
      <c r="Z35" s="139">
        <f t="shared" si="12"/>
      </c>
      <c r="AB35" s="138">
        <f t="shared" si="13"/>
      </c>
      <c r="AG35" s="98">
        <f t="shared" si="3"/>
      </c>
    </row>
    <row r="36" spans="1:33" ht="12.75">
      <c r="A36" s="112"/>
      <c r="B36" s="110"/>
      <c r="C36" s="54">
        <f t="shared" si="4"/>
      </c>
      <c r="D36" s="192">
        <f t="shared" si="14"/>
      </c>
      <c r="E36" s="193">
        <f t="shared" si="0"/>
      </c>
      <c r="F36" s="55">
        <f t="shared" si="5"/>
      </c>
      <c r="G36" s="195">
        <f t="shared" si="6"/>
      </c>
      <c r="H36" s="54">
        <f t="shared" si="15"/>
      </c>
      <c r="I36" s="203">
        <f t="shared" si="7"/>
      </c>
      <c r="J36" s="197">
        <f t="shared" si="1"/>
      </c>
      <c r="K36" s="198">
        <f t="shared" si="8"/>
      </c>
      <c r="L36" s="198">
        <f t="shared" si="9"/>
      </c>
      <c r="M36" s="199">
        <f t="shared" si="10"/>
      </c>
      <c r="N36" s="205">
        <f t="shared" si="2"/>
      </c>
      <c r="P36" s="114"/>
      <c r="Q36" s="12"/>
      <c r="V36" s="77">
        <f t="shared" si="11"/>
      </c>
      <c r="Z36" s="139">
        <f t="shared" si="12"/>
      </c>
      <c r="AB36" s="138">
        <f t="shared" si="13"/>
      </c>
      <c r="AG36" s="98">
        <f t="shared" si="3"/>
      </c>
    </row>
    <row r="37" spans="1:33" ht="12.75">
      <c r="A37" s="112"/>
      <c r="B37" s="110"/>
      <c r="C37" s="54">
        <f t="shared" si="4"/>
      </c>
      <c r="D37" s="192">
        <f t="shared" si="14"/>
      </c>
      <c r="E37" s="193">
        <f t="shared" si="0"/>
      </c>
      <c r="F37" s="55">
        <f t="shared" si="5"/>
      </c>
      <c r="G37" s="195">
        <f t="shared" si="6"/>
      </c>
      <c r="H37" s="54">
        <f t="shared" si="15"/>
      </c>
      <c r="I37" s="203">
        <f t="shared" si="7"/>
      </c>
      <c r="J37" s="197">
        <f t="shared" si="1"/>
      </c>
      <c r="K37" s="198">
        <f t="shared" si="8"/>
      </c>
      <c r="L37" s="198">
        <f t="shared" si="9"/>
      </c>
      <c r="M37" s="199">
        <f t="shared" si="10"/>
      </c>
      <c r="N37" s="205">
        <f t="shared" si="2"/>
      </c>
      <c r="P37" s="114"/>
      <c r="Q37" s="12"/>
      <c r="V37" s="77">
        <f t="shared" si="11"/>
      </c>
      <c r="Z37" s="139">
        <f t="shared" si="12"/>
      </c>
      <c r="AB37" s="138">
        <f t="shared" si="13"/>
      </c>
      <c r="AG37" s="98">
        <f t="shared" si="3"/>
      </c>
    </row>
    <row r="38" spans="1:33" ht="12.75">
      <c r="A38" s="112"/>
      <c r="B38" s="110"/>
      <c r="C38" s="54">
        <f t="shared" si="4"/>
      </c>
      <c r="D38" s="192">
        <f t="shared" si="14"/>
      </c>
      <c r="E38" s="193">
        <f t="shared" si="0"/>
      </c>
      <c r="F38" s="55">
        <f t="shared" si="5"/>
      </c>
      <c r="G38" s="195">
        <f t="shared" si="6"/>
      </c>
      <c r="H38" s="54">
        <f t="shared" si="15"/>
      </c>
      <c r="I38" s="203">
        <f t="shared" si="7"/>
      </c>
      <c r="J38" s="197">
        <f t="shared" si="1"/>
      </c>
      <c r="K38" s="198">
        <f t="shared" si="8"/>
      </c>
      <c r="L38" s="198">
        <f t="shared" si="9"/>
      </c>
      <c r="M38" s="199">
        <f t="shared" si="10"/>
      </c>
      <c r="N38" s="205">
        <f t="shared" si="2"/>
      </c>
      <c r="P38" s="114"/>
      <c r="Q38" s="12"/>
      <c r="V38" s="77">
        <f t="shared" si="11"/>
      </c>
      <c r="Z38" s="139">
        <f t="shared" si="12"/>
      </c>
      <c r="AB38" s="138">
        <f t="shared" si="13"/>
      </c>
      <c r="AG38" s="98">
        <f t="shared" si="3"/>
      </c>
    </row>
    <row r="39" spans="1:33" ht="12.75">
      <c r="A39" s="112"/>
      <c r="B39" s="110"/>
      <c r="C39" s="54">
        <f t="shared" si="4"/>
      </c>
      <c r="D39" s="192">
        <f t="shared" si="14"/>
      </c>
      <c r="E39" s="193">
        <f t="shared" si="0"/>
      </c>
      <c r="F39" s="55">
        <f t="shared" si="5"/>
      </c>
      <c r="G39" s="195">
        <f t="shared" si="6"/>
      </c>
      <c r="H39" s="54">
        <f t="shared" si="15"/>
      </c>
      <c r="I39" s="203">
        <f t="shared" si="7"/>
      </c>
      <c r="J39" s="197">
        <f t="shared" si="1"/>
      </c>
      <c r="K39" s="198">
        <f t="shared" si="8"/>
      </c>
      <c r="L39" s="198">
        <f t="shared" si="9"/>
      </c>
      <c r="M39" s="199">
        <f t="shared" si="10"/>
      </c>
      <c r="N39" s="205">
        <f t="shared" si="2"/>
      </c>
      <c r="P39" s="114"/>
      <c r="Q39" s="12"/>
      <c r="V39" s="77">
        <f t="shared" si="11"/>
      </c>
      <c r="Z39" s="139">
        <f t="shared" si="12"/>
      </c>
      <c r="AB39" s="138">
        <f t="shared" si="13"/>
      </c>
      <c r="AG39" s="98">
        <f t="shared" si="3"/>
      </c>
    </row>
    <row r="40" spans="1:33" ht="12.75">
      <c r="A40" s="112"/>
      <c r="B40" s="110"/>
      <c r="C40" s="54">
        <f t="shared" si="4"/>
      </c>
      <c r="D40" s="192">
        <f t="shared" si="14"/>
      </c>
      <c r="E40" s="193">
        <f t="shared" si="0"/>
      </c>
      <c r="F40" s="55">
        <f t="shared" si="5"/>
      </c>
      <c r="G40" s="195">
        <f t="shared" si="6"/>
      </c>
      <c r="H40" s="54">
        <f t="shared" si="15"/>
      </c>
      <c r="I40" s="203">
        <f t="shared" si="7"/>
      </c>
      <c r="J40" s="197">
        <f t="shared" si="1"/>
      </c>
      <c r="K40" s="198">
        <f t="shared" si="8"/>
      </c>
      <c r="L40" s="198">
        <f t="shared" si="9"/>
      </c>
      <c r="M40" s="199">
        <f t="shared" si="10"/>
      </c>
      <c r="N40" s="205">
        <f t="shared" si="2"/>
      </c>
      <c r="P40" s="114"/>
      <c r="Q40" s="12"/>
      <c r="V40" s="77">
        <f t="shared" si="11"/>
      </c>
      <c r="Z40" s="139">
        <f t="shared" si="12"/>
      </c>
      <c r="AB40" s="138">
        <f t="shared" si="13"/>
      </c>
      <c r="AG40" s="98">
        <f t="shared" si="3"/>
      </c>
    </row>
    <row r="41" spans="1:33" ht="12.75">
      <c r="A41" s="112"/>
      <c r="B41" s="110"/>
      <c r="C41" s="54">
        <f t="shared" si="4"/>
      </c>
      <c r="D41" s="192">
        <f t="shared" si="14"/>
      </c>
      <c r="E41" s="193">
        <f t="shared" si="0"/>
      </c>
      <c r="F41" s="55">
        <f t="shared" si="5"/>
      </c>
      <c r="G41" s="195">
        <f t="shared" si="6"/>
      </c>
      <c r="H41" s="54">
        <f t="shared" si="15"/>
      </c>
      <c r="I41" s="203">
        <f t="shared" si="7"/>
      </c>
      <c r="J41" s="197">
        <f t="shared" si="1"/>
      </c>
      <c r="K41" s="198">
        <f t="shared" si="8"/>
      </c>
      <c r="L41" s="198">
        <f t="shared" si="9"/>
      </c>
      <c r="M41" s="199">
        <f t="shared" si="10"/>
      </c>
      <c r="N41" s="205">
        <f t="shared" si="2"/>
      </c>
      <c r="P41" s="114"/>
      <c r="Q41" s="12"/>
      <c r="V41" s="77">
        <f t="shared" si="11"/>
      </c>
      <c r="W41" s="86"/>
      <c r="Y41" s="85"/>
      <c r="Z41" s="139">
        <f t="shared" si="12"/>
      </c>
      <c r="AA41" s="1"/>
      <c r="AB41" s="138">
        <f t="shared" si="13"/>
      </c>
      <c r="AG41" s="98">
        <f t="shared" si="3"/>
      </c>
    </row>
    <row r="42" spans="1:33" ht="12.75">
      <c r="A42" s="112"/>
      <c r="B42" s="110"/>
      <c r="C42" s="54">
        <f t="shared" si="4"/>
      </c>
      <c r="D42" s="192">
        <f t="shared" si="14"/>
      </c>
      <c r="E42" s="193">
        <f t="shared" si="0"/>
      </c>
      <c r="F42" s="55">
        <f t="shared" si="5"/>
      </c>
      <c r="G42" s="195">
        <f t="shared" si="6"/>
      </c>
      <c r="H42" s="54">
        <f t="shared" si="15"/>
      </c>
      <c r="I42" s="203">
        <f t="shared" si="7"/>
      </c>
      <c r="J42" s="197">
        <f t="shared" si="1"/>
      </c>
      <c r="K42" s="198">
        <f t="shared" si="8"/>
      </c>
      <c r="L42" s="198">
        <f t="shared" si="9"/>
      </c>
      <c r="M42" s="199">
        <f t="shared" si="10"/>
      </c>
      <c r="N42" s="205">
        <f t="shared" si="2"/>
      </c>
      <c r="P42" s="114"/>
      <c r="Q42" s="12"/>
      <c r="V42" s="77">
        <f t="shared" si="11"/>
      </c>
      <c r="Z42" s="139">
        <f t="shared" si="12"/>
      </c>
      <c r="AB42" s="138">
        <f t="shared" si="13"/>
      </c>
      <c r="AG42" s="98">
        <f t="shared" si="3"/>
      </c>
    </row>
    <row r="43" spans="1:33" ht="12.75">
      <c r="A43" s="112"/>
      <c r="B43" s="110"/>
      <c r="C43" s="54">
        <f t="shared" si="4"/>
      </c>
      <c r="D43" s="192">
        <f t="shared" si="14"/>
      </c>
      <c r="E43" s="193">
        <f t="shared" si="0"/>
      </c>
      <c r="F43" s="55">
        <f t="shared" si="5"/>
      </c>
      <c r="G43" s="195">
        <f t="shared" si="6"/>
      </c>
      <c r="H43" s="54">
        <f t="shared" si="15"/>
      </c>
      <c r="I43" s="203">
        <f t="shared" si="7"/>
      </c>
      <c r="J43" s="197">
        <f t="shared" si="1"/>
      </c>
      <c r="K43" s="198">
        <f t="shared" si="8"/>
      </c>
      <c r="L43" s="198">
        <f t="shared" si="9"/>
      </c>
      <c r="M43" s="199">
        <f t="shared" si="10"/>
      </c>
      <c r="N43" s="205">
        <f t="shared" si="2"/>
      </c>
      <c r="V43" s="77">
        <f t="shared" si="11"/>
      </c>
      <c r="Z43" s="139">
        <f t="shared" si="12"/>
      </c>
      <c r="AB43" s="138">
        <f t="shared" si="13"/>
      </c>
      <c r="AG43" s="98">
        <f t="shared" si="3"/>
      </c>
    </row>
    <row r="44" spans="1:33" ht="12.75">
      <c r="A44" s="112"/>
      <c r="B44" s="110"/>
      <c r="C44" s="54">
        <f t="shared" si="4"/>
      </c>
      <c r="D44" s="192">
        <f t="shared" si="14"/>
      </c>
      <c r="E44" s="193">
        <f t="shared" si="0"/>
      </c>
      <c r="F44" s="55">
        <f t="shared" si="5"/>
      </c>
      <c r="G44" s="195">
        <f t="shared" si="6"/>
      </c>
      <c r="H44" s="54">
        <f t="shared" si="15"/>
      </c>
      <c r="I44" s="203">
        <f t="shared" si="7"/>
      </c>
      <c r="J44" s="197">
        <f t="shared" si="1"/>
      </c>
      <c r="K44" s="198">
        <f t="shared" si="8"/>
      </c>
      <c r="L44" s="198">
        <f t="shared" si="9"/>
      </c>
      <c r="M44" s="199">
        <f t="shared" si="10"/>
      </c>
      <c r="N44" s="205">
        <f t="shared" si="2"/>
      </c>
      <c r="V44" s="77">
        <f t="shared" si="11"/>
      </c>
      <c r="Z44" s="139">
        <f t="shared" si="12"/>
      </c>
      <c r="AB44" s="138">
        <f t="shared" si="13"/>
      </c>
      <c r="AG44" s="98">
        <f t="shared" si="3"/>
      </c>
    </row>
    <row r="45" spans="1:33" ht="12.75">
      <c r="A45" s="112"/>
      <c r="B45" s="110"/>
      <c r="C45" s="54">
        <f t="shared" si="4"/>
      </c>
      <c r="D45" s="192">
        <f t="shared" si="14"/>
      </c>
      <c r="E45" s="193">
        <f t="shared" si="0"/>
      </c>
      <c r="F45" s="55">
        <f t="shared" si="5"/>
      </c>
      <c r="G45" s="195">
        <f t="shared" si="6"/>
      </c>
      <c r="H45" s="54">
        <f t="shared" si="15"/>
      </c>
      <c r="I45" s="203">
        <f t="shared" si="7"/>
      </c>
      <c r="J45" s="197">
        <f t="shared" si="1"/>
      </c>
      <c r="K45" s="198">
        <f t="shared" si="8"/>
      </c>
      <c r="L45" s="198">
        <f t="shared" si="9"/>
      </c>
      <c r="M45" s="199">
        <f t="shared" si="10"/>
      </c>
      <c r="N45" s="205">
        <f t="shared" si="2"/>
      </c>
      <c r="V45" s="77">
        <f t="shared" si="11"/>
      </c>
      <c r="Z45" s="139">
        <f t="shared" si="12"/>
      </c>
      <c r="AB45" s="138">
        <f t="shared" si="13"/>
      </c>
      <c r="AG45" s="98">
        <f t="shared" si="3"/>
      </c>
    </row>
    <row r="46" spans="1:33" ht="12.75">
      <c r="A46" s="112"/>
      <c r="B46" s="110"/>
      <c r="C46" s="54">
        <f t="shared" si="4"/>
      </c>
      <c r="D46" s="192">
        <f t="shared" si="14"/>
      </c>
      <c r="E46" s="193">
        <f t="shared" si="0"/>
      </c>
      <c r="F46" s="55">
        <f t="shared" si="5"/>
      </c>
      <c r="G46" s="195">
        <f t="shared" si="6"/>
      </c>
      <c r="H46" s="54">
        <f t="shared" si="15"/>
      </c>
      <c r="I46" s="203">
        <f t="shared" si="7"/>
      </c>
      <c r="J46" s="197">
        <f t="shared" si="1"/>
      </c>
      <c r="K46" s="198">
        <f t="shared" si="8"/>
      </c>
      <c r="L46" s="198">
        <f t="shared" si="9"/>
      </c>
      <c r="M46" s="199">
        <f t="shared" si="10"/>
      </c>
      <c r="N46" s="205">
        <f t="shared" si="2"/>
      </c>
      <c r="Q46" s="10"/>
      <c r="V46" s="77">
        <f t="shared" si="11"/>
      </c>
      <c r="Z46" s="139">
        <f t="shared" si="12"/>
      </c>
      <c r="AB46" s="138">
        <f t="shared" si="13"/>
      </c>
      <c r="AG46" s="98">
        <f t="shared" si="3"/>
      </c>
    </row>
    <row r="47" spans="1:33" ht="12.75">
      <c r="A47" s="112"/>
      <c r="B47" s="110"/>
      <c r="C47" s="54">
        <f t="shared" si="4"/>
      </c>
      <c r="D47" s="192">
        <f t="shared" si="14"/>
      </c>
      <c r="E47" s="193">
        <f t="shared" si="0"/>
      </c>
      <c r="F47" s="55">
        <f t="shared" si="5"/>
      </c>
      <c r="G47" s="195">
        <f t="shared" si="6"/>
      </c>
      <c r="H47" s="54">
        <f t="shared" si="15"/>
      </c>
      <c r="I47" s="203">
        <f t="shared" si="7"/>
      </c>
      <c r="J47" s="197">
        <f t="shared" si="1"/>
      </c>
      <c r="K47" s="198">
        <f t="shared" si="8"/>
      </c>
      <c r="L47" s="198">
        <f t="shared" si="9"/>
      </c>
      <c r="M47" s="199">
        <f t="shared" si="10"/>
      </c>
      <c r="N47" s="205">
        <f t="shared" si="2"/>
      </c>
      <c r="Q47" s="10"/>
      <c r="V47" s="77">
        <f t="shared" si="11"/>
      </c>
      <c r="Z47" s="139">
        <f t="shared" si="12"/>
      </c>
      <c r="AB47" s="138">
        <f t="shared" si="13"/>
      </c>
      <c r="AG47" s="98">
        <f t="shared" si="3"/>
      </c>
    </row>
    <row r="48" spans="1:33" ht="12.75">
      <c r="A48" s="112"/>
      <c r="B48" s="110"/>
      <c r="C48" s="54">
        <f t="shared" si="4"/>
      </c>
      <c r="D48" s="192">
        <f t="shared" si="14"/>
      </c>
      <c r="E48" s="193">
        <f t="shared" si="0"/>
      </c>
      <c r="F48" s="55">
        <f t="shared" si="5"/>
      </c>
      <c r="G48" s="195">
        <f t="shared" si="6"/>
      </c>
      <c r="H48" s="54">
        <f t="shared" si="15"/>
      </c>
      <c r="I48" s="203">
        <f t="shared" si="7"/>
      </c>
      <c r="J48" s="197">
        <f t="shared" si="1"/>
      </c>
      <c r="K48" s="198">
        <f t="shared" si="8"/>
      </c>
      <c r="L48" s="198">
        <f t="shared" si="9"/>
      </c>
      <c r="M48" s="199">
        <f t="shared" si="10"/>
      </c>
      <c r="N48" s="205">
        <f t="shared" si="2"/>
      </c>
      <c r="Q48" s="10"/>
      <c r="V48" s="77">
        <f t="shared" si="11"/>
      </c>
      <c r="Z48" s="139">
        <f t="shared" si="12"/>
      </c>
      <c r="AB48" s="138">
        <f t="shared" si="13"/>
      </c>
      <c r="AG48" s="98">
        <f t="shared" si="3"/>
      </c>
    </row>
    <row r="49" spans="1:33" ht="12.75">
      <c r="A49" s="112"/>
      <c r="B49" s="110"/>
      <c r="C49" s="54">
        <f t="shared" si="4"/>
      </c>
      <c r="D49" s="192">
        <f t="shared" si="14"/>
      </c>
      <c r="E49" s="193">
        <f t="shared" si="0"/>
      </c>
      <c r="F49" s="55">
        <f t="shared" si="5"/>
      </c>
      <c r="G49" s="195">
        <f t="shared" si="6"/>
      </c>
      <c r="H49" s="54">
        <f t="shared" si="15"/>
      </c>
      <c r="I49" s="203">
        <f t="shared" si="7"/>
      </c>
      <c r="J49" s="197">
        <f t="shared" si="1"/>
      </c>
      <c r="K49" s="198">
        <f t="shared" si="8"/>
      </c>
      <c r="L49" s="198">
        <f t="shared" si="9"/>
      </c>
      <c r="M49" s="199">
        <f t="shared" si="10"/>
      </c>
      <c r="N49" s="205">
        <f t="shared" si="2"/>
      </c>
      <c r="Q49" s="10"/>
      <c r="V49" s="77">
        <f t="shared" si="11"/>
      </c>
      <c r="Z49" s="139">
        <f t="shared" si="12"/>
      </c>
      <c r="AB49" s="138">
        <f t="shared" si="13"/>
      </c>
      <c r="AG49" s="98">
        <f t="shared" si="3"/>
      </c>
    </row>
    <row r="50" spans="1:33" ht="13.5" thickBot="1">
      <c r="A50" s="133"/>
      <c r="B50" s="134"/>
      <c r="C50" s="54">
        <f t="shared" si="4"/>
      </c>
      <c r="D50" s="190">
        <f t="shared" si="14"/>
      </c>
      <c r="E50" s="194">
        <f t="shared" si="0"/>
      </c>
      <c r="F50" s="55">
        <f t="shared" si="5"/>
      </c>
      <c r="G50" s="195">
        <f t="shared" si="6"/>
      </c>
      <c r="H50" s="54">
        <f t="shared" si="15"/>
      </c>
      <c r="I50" s="203">
        <f t="shared" si="7"/>
      </c>
      <c r="J50" s="197">
        <f t="shared" si="1"/>
      </c>
      <c r="K50" s="198">
        <f t="shared" si="8"/>
      </c>
      <c r="L50" s="198">
        <f t="shared" si="9"/>
      </c>
      <c r="M50" s="199">
        <f t="shared" si="10"/>
      </c>
      <c r="N50" s="205">
        <f t="shared" si="2"/>
      </c>
      <c r="Q50" s="10"/>
      <c r="V50" s="77">
        <f t="shared" si="11"/>
      </c>
      <c r="Z50" s="139">
        <f t="shared" si="12"/>
      </c>
      <c r="AB50" s="138">
        <f t="shared" si="13"/>
      </c>
      <c r="AG50" s="98">
        <f t="shared" si="3"/>
      </c>
    </row>
    <row r="51" spans="1:26" ht="12.75">
      <c r="A51" s="100" t="s">
        <v>46</v>
      </c>
      <c r="B51" s="179">
        <f>SUM(B21:B50)</f>
        <v>71.39999999999999</v>
      </c>
      <c r="C51" s="20"/>
      <c r="D51" s="181">
        <f>SUM(D21:D50)</f>
        <v>3570</v>
      </c>
      <c r="E51" s="180">
        <f>SUM(E21:E50)</f>
        <v>614.04</v>
      </c>
      <c r="F51" s="20"/>
      <c r="G51" s="101"/>
      <c r="H51" s="20"/>
      <c r="I51" s="182">
        <f>SUM(I21:I50)</f>
        <v>299</v>
      </c>
      <c r="J51" s="20"/>
      <c r="K51" s="136"/>
      <c r="L51" s="20"/>
      <c r="M51" s="20"/>
      <c r="N51" s="33"/>
      <c r="Z51" s="113"/>
    </row>
    <row r="52" spans="1:26" ht="15" thickBot="1">
      <c r="A52" s="5"/>
      <c r="B52" s="25" t="s">
        <v>12</v>
      </c>
      <c r="C52" s="6"/>
      <c r="D52" s="125" t="s">
        <v>48</v>
      </c>
      <c r="E52" s="126" t="s">
        <v>54</v>
      </c>
      <c r="F52" s="6"/>
      <c r="G52" s="6"/>
      <c r="H52" s="6"/>
      <c r="I52" s="25" t="s">
        <v>14</v>
      </c>
      <c r="J52" s="6"/>
      <c r="K52" s="6"/>
      <c r="L52" s="6"/>
      <c r="M52" s="6"/>
      <c r="N52" s="7"/>
      <c r="Z52" s="113"/>
    </row>
  </sheetData>
  <sheetProtection password="CC21" sheet="1" objects="1" scenarios="1"/>
  <mergeCells count="11">
    <mergeCell ref="B8:I8"/>
    <mergeCell ref="L8:M8"/>
    <mergeCell ref="F13:G13"/>
    <mergeCell ref="S14:T14"/>
    <mergeCell ref="AD14:AE14"/>
    <mergeCell ref="A1:N1"/>
    <mergeCell ref="M2:N2"/>
    <mergeCell ref="B4:I4"/>
    <mergeCell ref="L4:M4"/>
    <mergeCell ref="B6:I6"/>
    <mergeCell ref="L6:M6"/>
  </mergeCells>
  <conditionalFormatting sqref="D18 D21:D50">
    <cfRule type="expression" priority="3" dxfId="0" stopIfTrue="1">
      <formula>$B$21*$C$21</formula>
    </cfRule>
    <cfRule type="cellIs" priority="4" dxfId="0" operator="equal" stopIfTrue="1">
      <formula>$B$21*$C$21</formula>
    </cfRule>
  </conditionalFormatting>
  <conditionalFormatting sqref="H18 H21:H50">
    <cfRule type="expression" priority="2" dxfId="0" stopIfTrue="1">
      <formula>I18&gt;120</formula>
    </cfRule>
  </conditionalFormatting>
  <conditionalFormatting sqref="B21:B50">
    <cfRule type="expression" priority="1" dxfId="0" stopIfTrue="1">
      <formula>I21&gt;120</formula>
    </cfRule>
  </conditionalFormatting>
  <dataValidations count="8">
    <dataValidation type="list" allowBlank="1" showDropDown="1" showInputMessage="1" showErrorMessage="1" sqref="C18 C21:C50">
      <formula1>"45,46,47,48,49,50,51,52,53,54,55"</formula1>
    </dataValidation>
    <dataValidation type="list" allowBlank="1" showDropDown="1" showInputMessage="1" showErrorMessage="1" sqref="F18 F21:F50">
      <formula1>""""",0,25,0,30"</formula1>
    </dataValidation>
    <dataValidation type="list" allowBlank="1" showInputMessage="1" showErrorMessage="1" sqref="F13:G13">
      <formula1>"PEX,ALUPEX"</formula1>
    </dataValidation>
    <dataValidation type="decimal" operator="equal" allowBlank="1" showInputMessage="1" showErrorMessage="1" promptTitle="Ingen indtastning." errorTitle="Beskyttet celle." sqref="E21:E50">
      <formula1>IF(B21="","",D21*0.86/$D$13)</formula1>
    </dataValidation>
    <dataValidation type="decimal" operator="equal" allowBlank="1" showInputMessage="1" showErrorMessage="1" promptTitle="Ingen indtastning." errorTitle="Beskyttet celle" sqref="D21:D50">
      <formula1>IF(B21="","",B21*C21)</formula1>
    </dataValidation>
    <dataValidation type="list" allowBlank="1" showInputMessage="1" showErrorMessage="1" sqref="D13">
      <formula1>"3,4,5,6,7,8,9,10"</formula1>
    </dataValidation>
    <dataValidation type="list" allowBlank="1" showInputMessage="1" showErrorMessage="1" sqref="D12">
      <formula1>"45,46,47,48,49,50,51,52,53,54,55"</formula1>
    </dataValidation>
    <dataValidation type="list" allowBlank="1" showErrorMessage="1" promptTitle="Beskyttet Celle" prompt="&#10;Ingen indtastning." errorTitle="Beskyttet celle" sqref="D14">
      <formula1>"0,30,0,25"</formula1>
    </dataValidation>
  </dataValidations>
  <printOptions horizontalCentered="1" verticalCentered="1"/>
  <pageMargins left="0.4330708661417323" right="0.3937007874015748" top="1.8110236220472442" bottom="0.5118110236220472" header="0.5118110236220472" footer="0.5118110236220472"/>
  <pageSetup fitToHeight="1" fitToWidth="1" horizontalDpi="360" verticalDpi="360" orientation="portrait" paperSize="9" scale="85" r:id="rId5"/>
  <drawing r:id="rId4"/>
  <legacyDrawing r:id="rId3"/>
  <oleObjects>
    <oleObject progId="MSPhotoEd.3" shapeId="5068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DKSC</dc:creator>
  <cp:keywords/>
  <dc:description/>
  <cp:lastModifiedBy>MC Familien</cp:lastModifiedBy>
  <cp:lastPrinted>2003-12-17T11:30:17Z</cp:lastPrinted>
  <dcterms:created xsi:type="dcterms:W3CDTF">1999-03-12T17:11:56Z</dcterms:created>
  <dcterms:modified xsi:type="dcterms:W3CDTF">2010-01-12T22:15:31Z</dcterms:modified>
  <cp:category/>
  <cp:version/>
  <cp:contentType/>
  <cp:contentStatus/>
</cp:coreProperties>
</file>